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71A90BD2-D22C-41EC-8416-AFA7BB18FC2C}" xr6:coauthVersionLast="47" xr6:coauthVersionMax="47" xr10:uidLastSave="{00000000-0000-0000-0000-000000000000}"/>
  <bookViews>
    <workbookView xWindow="19650" yWindow="525" windowWidth="18015" windowHeight="18330" xr2:uid="{F9EF3B70-B3B2-4959-B2AE-E0B13485072D}"/>
  </bookViews>
  <sheets>
    <sheet name="Feuil1" sheetId="1" r:id="rId1"/>
  </sheets>
  <definedNames>
    <definedName name="solver_adj" localSheetId="0" hidden="1">Feuil1!$B$12:$B$16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Feuil1!$B$12</definedName>
    <definedName name="solver_lhs10" localSheetId="0" hidden="1">Feuil1!$B$16</definedName>
    <definedName name="solver_lhs2" localSheetId="0" hidden="1">Feuil1!$B$12</definedName>
    <definedName name="solver_lhs3" localSheetId="0" hidden="1">Feuil1!$B$13</definedName>
    <definedName name="solver_lhs4" localSheetId="0" hidden="1">Feuil1!$B$13</definedName>
    <definedName name="solver_lhs5" localSheetId="0" hidden="1">Feuil1!$B$14</definedName>
    <definedName name="solver_lhs6" localSheetId="0" hidden="1">Feuil1!$B$14</definedName>
    <definedName name="solver_lhs7" localSheetId="0" hidden="1">Feuil1!$B$15</definedName>
    <definedName name="solver_lhs8" localSheetId="0" hidden="1">Feuil1!$B$15</definedName>
    <definedName name="solver_lhs9" localSheetId="0" hidden="1">Feuil1!$B$16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10</definedName>
    <definedName name="solver_nwt" localSheetId="0" hidden="1">1</definedName>
    <definedName name="solver_opt" localSheetId="0" hidden="1">Feuil1!$H$39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10" localSheetId="0" hidden="1">3</definedName>
    <definedName name="solver_rel2" localSheetId="0" hidden="1">3</definedName>
    <definedName name="solver_rel3" localSheetId="0" hidden="1">1</definedName>
    <definedName name="solver_rel4" localSheetId="0" hidden="1">3</definedName>
    <definedName name="solver_rel5" localSheetId="0" hidden="1">1</definedName>
    <definedName name="solver_rel6" localSheetId="0" hidden="1">3</definedName>
    <definedName name="solver_rel7" localSheetId="0" hidden="1">1</definedName>
    <definedName name="solver_rel8" localSheetId="0" hidden="1">3</definedName>
    <definedName name="solver_rel9" localSheetId="0" hidden="1">1</definedName>
    <definedName name="solver_rhs1" localSheetId="0" hidden="1">4</definedName>
    <definedName name="solver_rhs10" localSheetId="0" hidden="1">0.001</definedName>
    <definedName name="solver_rhs2" localSheetId="0" hidden="1">0</definedName>
    <definedName name="solver_rhs3" localSheetId="0" hidden="1">2</definedName>
    <definedName name="solver_rhs4" localSheetId="0" hidden="1">0.001</definedName>
    <definedName name="solver_rhs5" localSheetId="0" hidden="1">2</definedName>
    <definedName name="solver_rhs6" localSheetId="0" hidden="1">0</definedName>
    <definedName name="solver_rhs7" localSheetId="0" hidden="1">2</definedName>
    <definedName name="solver_rhs8" localSheetId="0" hidden="1">0</definedName>
    <definedName name="solver_rhs9" localSheetId="0" hidden="1">2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F24" i="1"/>
  <c r="F23" i="1"/>
  <c r="F22" i="1"/>
  <c r="F21" i="1"/>
  <c r="F20" i="1"/>
  <c r="E24" i="1"/>
  <c r="E23" i="1"/>
  <c r="E22" i="1"/>
  <c r="E21" i="1"/>
  <c r="E20" i="1"/>
  <c r="D24" i="1"/>
  <c r="D23" i="1"/>
  <c r="D22" i="1"/>
  <c r="D21" i="1"/>
  <c r="D20" i="1"/>
  <c r="C24" i="1"/>
  <c r="C23" i="1"/>
  <c r="C22" i="1"/>
  <c r="C21" i="1"/>
  <c r="C20" i="1"/>
  <c r="B24" i="1"/>
  <c r="B23" i="1"/>
  <c r="B22" i="1"/>
  <c r="B21" i="1"/>
  <c r="B20" i="1"/>
  <c r="B37" i="1" l="1"/>
  <c r="C36" i="1"/>
  <c r="C29" i="1"/>
  <c r="C37" i="1"/>
  <c r="B36" i="1"/>
  <c r="C35" i="1"/>
  <c r="B35" i="1"/>
  <c r="C30" i="1"/>
  <c r="B30" i="1"/>
  <c r="C28" i="1"/>
  <c r="B28" i="1"/>
  <c r="B29" i="1"/>
  <c r="D36" i="1" l="1"/>
  <c r="E36" i="1" s="1"/>
  <c r="F36" i="1" s="1"/>
  <c r="D37" i="1"/>
  <c r="E37" i="1" s="1"/>
  <c r="F37" i="1" s="1"/>
  <c r="D35" i="1"/>
  <c r="E35" i="1" s="1"/>
  <c r="F35" i="1" s="1"/>
  <c r="D29" i="1"/>
  <c r="E29" i="1" s="1"/>
  <c r="F29" i="1" s="1"/>
  <c r="D28" i="1"/>
  <c r="E28" i="1" s="1"/>
  <c r="F28" i="1" s="1"/>
  <c r="D30" i="1"/>
  <c r="E30" i="1" s="1"/>
  <c r="F30" i="1" s="1"/>
  <c r="H35" i="1" l="1"/>
  <c r="H28" i="1"/>
  <c r="H39" i="1" l="1"/>
</calcChain>
</file>

<file path=xl/sharedStrings.xml><?xml version="1.0" encoding="utf-8"?>
<sst xmlns="http://schemas.openxmlformats.org/spreadsheetml/2006/main" count="44" uniqueCount="33">
  <si>
    <t>Part 1</t>
  </si>
  <si>
    <t>Part 2</t>
  </si>
  <si>
    <t>Part3</t>
  </si>
  <si>
    <t>Part4</t>
  </si>
  <si>
    <t>Part 4</t>
  </si>
  <si>
    <t>Part 3</t>
  </si>
  <si>
    <t>Material 1</t>
  </si>
  <si>
    <t>Material 2</t>
  </si>
  <si>
    <t>Material 3</t>
  </si>
  <si>
    <t>Part 5</t>
  </si>
  <si>
    <t>Var 1</t>
  </si>
  <si>
    <t>Var2</t>
  </si>
  <si>
    <t>Var3</t>
  </si>
  <si>
    <t>Var4</t>
  </si>
  <si>
    <t>Var5</t>
  </si>
  <si>
    <t>DATA</t>
  </si>
  <si>
    <t>Part1</t>
  </si>
  <si>
    <t>Part2</t>
  </si>
  <si>
    <t>Part5</t>
  </si>
  <si>
    <t>Material1</t>
  </si>
  <si>
    <t>Material2</t>
  </si>
  <si>
    <t>Param 1</t>
  </si>
  <si>
    <t>Test1</t>
  </si>
  <si>
    <t>Test2</t>
  </si>
  <si>
    <t>Material3</t>
  </si>
  <si>
    <t>F1</t>
  </si>
  <si>
    <t>F2</t>
  </si>
  <si>
    <t>Rapport F1 / F2</t>
  </si>
  <si>
    <t>Ecart</t>
  </si>
  <si>
    <t>Cible</t>
  </si>
  <si>
    <t>Somme global</t>
  </si>
  <si>
    <t>Somme Test1</t>
  </si>
  <si>
    <t>Somme Test2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</si>
</sst>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0" fontId="0" fillId="3" borderId="0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0" fillId="0" borderId="6" xfId="0" applyBorder="1"/>
    <xf numFmtId="10" fontId="0" fillId="0" borderId="1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0" fillId="0" borderId="8" xfId="0" applyBorder="1"/>
    <xf numFmtId="10" fontId="0" fillId="0" borderId="9" xfId="0" applyNumberForma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10" fontId="0" fillId="0" borderId="13" xfId="0" applyNumberForma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10" fontId="0" fillId="0" borderId="7" xfId="0" applyNumberFormat="1" applyBorder="1"/>
    <xf numFmtId="0" fontId="0" fillId="0" borderId="9" xfId="0" applyBorder="1"/>
    <xf numFmtId="0" fontId="0" fillId="0" borderId="9" xfId="0" applyBorder="1" applyAlignment="1">
      <alignment horizontal="center"/>
    </xf>
    <xf numFmtId="10" fontId="0" fillId="0" borderId="10" xfId="0" applyNumberFormat="1" applyBorder="1"/>
    <xf numFmtId="0" fontId="0" fillId="0" borderId="19" xfId="0" applyBorder="1"/>
    <xf numFmtId="0" fontId="0" fillId="0" borderId="20" xfId="0" applyBorder="1"/>
    <xf numFmtId="0" fontId="0" fillId="0" borderId="20" xfId="0" applyBorder="1" applyAlignment="1">
      <alignment horizontal="center"/>
    </xf>
    <xf numFmtId="10" fontId="0" fillId="0" borderId="21" xfId="0" applyNumberFormat="1" applyBorder="1"/>
    <xf numFmtId="0" fontId="0" fillId="0" borderId="22" xfId="0" applyBorder="1"/>
    <xf numFmtId="0" fontId="0" fillId="0" borderId="22" xfId="0" applyFill="1" applyBorder="1" applyAlignment="1">
      <alignment horizontal="center"/>
    </xf>
    <xf numFmtId="0" fontId="0" fillId="0" borderId="18" xfId="0" applyFill="1" applyBorder="1"/>
    <xf numFmtId="0" fontId="0" fillId="4" borderId="0" xfId="0" applyFill="1"/>
    <xf numFmtId="0" fontId="0" fillId="5" borderId="0" xfId="0" applyFill="1"/>
    <xf numFmtId="0" fontId="1" fillId="5" borderId="0" xfId="0" applyFont="1" applyFill="1" applyAlignment="1">
      <alignment horizontal="right"/>
    </xf>
    <xf numFmtId="0" fontId="1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26D50-1757-4B30-A743-76C613CBE1EC}">
  <dimension ref="A1:H39"/>
  <sheetViews>
    <sheetView tabSelected="1" workbookViewId="0">
      <selection activeCell="D20" sqref="D20"/>
    </sheetView>
  </sheetViews>
  <sheetFormatPr baseColWidth="10" defaultRowHeight="15" x14ac:dyDescent="0.25"/>
  <cols>
    <col min="4" max="4" width="14.140625" bestFit="1" customWidth="1"/>
    <col min="8" max="8" width="12.85546875" bestFit="1" customWidth="1"/>
  </cols>
  <sheetData>
    <row r="1" spans="1:4" x14ac:dyDescent="0.25">
      <c r="A1" t="s">
        <v>15</v>
      </c>
    </row>
    <row r="2" spans="1:4" x14ac:dyDescent="0.25">
      <c r="A2" s="1"/>
      <c r="B2" s="1" t="s">
        <v>6</v>
      </c>
      <c r="C2" s="1" t="s">
        <v>7</v>
      </c>
      <c r="D2" s="1" t="s">
        <v>8</v>
      </c>
    </row>
    <row r="3" spans="1:4" x14ac:dyDescent="0.25">
      <c r="A3" s="2" t="s">
        <v>0</v>
      </c>
      <c r="B3" s="2">
        <v>10</v>
      </c>
      <c r="C3" s="2">
        <v>40</v>
      </c>
      <c r="D3" s="2">
        <v>60</v>
      </c>
    </row>
    <row r="4" spans="1:4" x14ac:dyDescent="0.25">
      <c r="A4" s="2" t="s">
        <v>1</v>
      </c>
      <c r="B4" s="2">
        <v>8</v>
      </c>
      <c r="C4" s="2">
        <v>32.4</v>
      </c>
      <c r="D4" s="2">
        <v>43</v>
      </c>
    </row>
    <row r="5" spans="1:4" x14ac:dyDescent="0.25">
      <c r="A5" s="2" t="s">
        <v>5</v>
      </c>
      <c r="B5" s="2">
        <v>5.4</v>
      </c>
      <c r="C5" s="2">
        <v>25</v>
      </c>
      <c r="D5" s="2">
        <v>24</v>
      </c>
    </row>
    <row r="6" spans="1:4" x14ac:dyDescent="0.25">
      <c r="A6" s="2" t="s">
        <v>4</v>
      </c>
      <c r="B6" s="2">
        <v>3</v>
      </c>
      <c r="C6" s="2">
        <v>12</v>
      </c>
      <c r="D6" s="2">
        <v>11.9</v>
      </c>
    </row>
    <row r="7" spans="1:4" x14ac:dyDescent="0.25">
      <c r="A7" s="2" t="s">
        <v>9</v>
      </c>
      <c r="B7" s="2">
        <v>1.1000000000000001</v>
      </c>
      <c r="C7" s="2">
        <v>7.4</v>
      </c>
      <c r="D7" s="2">
        <v>10</v>
      </c>
    </row>
    <row r="8" spans="1:4" x14ac:dyDescent="0.25">
      <c r="A8" s="3"/>
      <c r="B8" s="3"/>
      <c r="C8" s="3"/>
      <c r="D8" s="3"/>
    </row>
    <row r="9" spans="1:4" x14ac:dyDescent="0.25">
      <c r="A9" s="3" t="s">
        <v>21</v>
      </c>
      <c r="B9" s="3">
        <v>2.2999999999999998</v>
      </c>
      <c r="C9" s="3"/>
      <c r="D9" s="3"/>
    </row>
    <row r="10" spans="1:4" ht="13.5" customHeight="1" x14ac:dyDescent="0.25">
      <c r="A10" s="1"/>
      <c r="B10" s="1"/>
      <c r="C10" s="1"/>
      <c r="D10" s="1"/>
    </row>
    <row r="12" spans="1:4" x14ac:dyDescent="0.25">
      <c r="A12" t="s">
        <v>10</v>
      </c>
      <c r="B12" s="4">
        <v>0</v>
      </c>
    </row>
    <row r="13" spans="1:4" x14ac:dyDescent="0.25">
      <c r="A13" t="s">
        <v>11</v>
      </c>
      <c r="B13" s="4">
        <v>1E-4</v>
      </c>
    </row>
    <row r="14" spans="1:4" x14ac:dyDescent="0.25">
      <c r="A14" t="s">
        <v>12</v>
      </c>
      <c r="B14" s="4">
        <v>0</v>
      </c>
    </row>
    <row r="15" spans="1:4" x14ac:dyDescent="0.25">
      <c r="A15" t="s">
        <v>13</v>
      </c>
      <c r="B15" s="4">
        <v>0</v>
      </c>
    </row>
    <row r="16" spans="1:4" x14ac:dyDescent="0.25">
      <c r="A16" t="s">
        <v>14</v>
      </c>
      <c r="B16" s="4">
        <v>1E-4</v>
      </c>
    </row>
    <row r="17" spans="1:8" ht="15.75" thickBot="1" x14ac:dyDescent="0.3"/>
    <row r="18" spans="1:8" ht="15.75" thickBot="1" x14ac:dyDescent="0.3">
      <c r="B18" s="5" t="s">
        <v>22</v>
      </c>
      <c r="C18" s="5"/>
      <c r="D18" s="5"/>
      <c r="E18" s="5" t="s">
        <v>23</v>
      </c>
      <c r="F18" s="5"/>
      <c r="G18" s="5"/>
    </row>
    <row r="19" spans="1:8" ht="15.75" thickBot="1" x14ac:dyDescent="0.3">
      <c r="B19" s="6" t="s">
        <v>19</v>
      </c>
      <c r="C19" s="6" t="s">
        <v>20</v>
      </c>
      <c r="D19" s="6"/>
      <c r="E19" s="6" t="s">
        <v>24</v>
      </c>
      <c r="F19" s="6" t="s">
        <v>20</v>
      </c>
      <c r="G19" s="6"/>
    </row>
    <row r="20" spans="1:8" x14ac:dyDescent="0.25">
      <c r="A20" s="18" t="s">
        <v>16</v>
      </c>
      <c r="B20" s="15">
        <f>EXP(-B3*$B$12)</f>
        <v>1</v>
      </c>
      <c r="C20" s="7">
        <f>EXP(-C3*$B$14)</f>
        <v>1</v>
      </c>
      <c r="D20" s="7">
        <f>((EXP(-7.5*$B$9*$B$13)-1)/(-7.5*$B$9*$B$13))</f>
        <v>0.99913799572371853</v>
      </c>
      <c r="E20" s="7">
        <f>EXP(-D3*$B$15)</f>
        <v>1</v>
      </c>
      <c r="F20" s="7">
        <f>EXP(-C3*$B$14)</f>
        <v>1</v>
      </c>
      <c r="G20" s="8">
        <f>((EXP(-7.5*$B$9*$B$16)-1)/(-7.5*$B$9*$B$16))</f>
        <v>0.99913799572371853</v>
      </c>
    </row>
    <row r="21" spans="1:8" x14ac:dyDescent="0.25">
      <c r="A21" s="19" t="s">
        <v>17</v>
      </c>
      <c r="B21" s="16">
        <f>EXP(-B4*$B$12)</f>
        <v>1</v>
      </c>
      <c r="C21" s="10">
        <f>EXP(-C4*$B$14)</f>
        <v>1</v>
      </c>
      <c r="D21" s="10">
        <f>((EXP(-2.93*$B$9*$B$13)-1)/(-2.93*$B$9*$B$13))</f>
        <v>0.99966312567740345</v>
      </c>
      <c r="E21" s="10">
        <f t="shared" ref="E21:E24" si="0">EXP(-D4*$B$15)</f>
        <v>1</v>
      </c>
      <c r="F21" s="10">
        <f t="shared" ref="F21:F24" si="1">EXP(-C4*$B$14)</f>
        <v>1</v>
      </c>
      <c r="G21" s="11">
        <f>((EXP(-7.5*$B$9*$B$16)-1)/(-7.5*$B$9*$B$16))</f>
        <v>0.99913799572371853</v>
      </c>
    </row>
    <row r="22" spans="1:8" x14ac:dyDescent="0.25">
      <c r="A22" s="19" t="s">
        <v>2</v>
      </c>
      <c r="B22" s="16">
        <f>EXP(-B5*$B$12)</f>
        <v>1</v>
      </c>
      <c r="C22" s="10">
        <f>EXP(-C5*$B$14)</f>
        <v>1</v>
      </c>
      <c r="D22" s="10">
        <f>((EXP(-1.86*$B$9*$B$13)-1)/(-1.86*$B$9*$B$13))</f>
        <v>0.99978613049890908</v>
      </c>
      <c r="E22" s="10">
        <f t="shared" si="0"/>
        <v>1</v>
      </c>
      <c r="F22" s="10">
        <f t="shared" si="1"/>
        <v>1</v>
      </c>
      <c r="G22" s="11">
        <f>((EXP(-7.5*$B$9*$B$16)-1)/(-7.5*$B$9*$B$16))</f>
        <v>0.99913799572371853</v>
      </c>
    </row>
    <row r="23" spans="1:8" x14ac:dyDescent="0.25">
      <c r="A23" s="19" t="s">
        <v>3</v>
      </c>
      <c r="B23" s="16">
        <f>EXP(-B6*$B$12)</f>
        <v>1</v>
      </c>
      <c r="C23" s="10">
        <f>EXP(-C6*$B$14)</f>
        <v>1</v>
      </c>
      <c r="D23" s="10">
        <f>((EXP(-2.73*$B$9*$B$13)-1)/(-2.73*$B$9*$B$13))</f>
        <v>0.99968611569933397</v>
      </c>
      <c r="E23" s="10">
        <f t="shared" si="0"/>
        <v>1</v>
      </c>
      <c r="F23" s="10">
        <f t="shared" si="1"/>
        <v>1</v>
      </c>
      <c r="G23" s="11">
        <f>((EXP(-7.5*$B$9*$B$16)-1)/(-7.5*$B$9*$B$16))</f>
        <v>0.99913799572371853</v>
      </c>
    </row>
    <row r="24" spans="1:8" ht="15.75" thickBot="1" x14ac:dyDescent="0.3">
      <c r="A24" s="20" t="s">
        <v>18</v>
      </c>
      <c r="B24" s="17">
        <f>EXP(-B7*$B$12)</f>
        <v>1</v>
      </c>
      <c r="C24" s="13">
        <f>EXP(-C7*$B$14)</f>
        <v>1</v>
      </c>
      <c r="D24" s="13">
        <f>((EXP(-1.23*$B$9*$B$13)-1)/(-1.23*$B$9*$B$13))</f>
        <v>0.99985856333783518</v>
      </c>
      <c r="E24" s="13">
        <f t="shared" si="0"/>
        <v>1</v>
      </c>
      <c r="F24" s="13">
        <f t="shared" si="1"/>
        <v>1</v>
      </c>
      <c r="G24" s="14">
        <f>((EXP(-7.5*$B$9*$B$16)-1)/(-7.5*$B$9*$B$16))</f>
        <v>0.99913799572371853</v>
      </c>
    </row>
    <row r="26" spans="1:8" ht="15.75" thickBot="1" x14ac:dyDescent="0.3"/>
    <row r="27" spans="1:8" ht="15.75" thickBot="1" x14ac:dyDescent="0.3">
      <c r="A27" t="s">
        <v>22</v>
      </c>
      <c r="B27" s="21" t="s">
        <v>25</v>
      </c>
      <c r="C27" s="33" t="s">
        <v>26</v>
      </c>
      <c r="D27" s="34" t="s">
        <v>27</v>
      </c>
      <c r="E27" s="34" t="s">
        <v>28</v>
      </c>
      <c r="F27" s="35" t="s">
        <v>29</v>
      </c>
      <c r="H27" s="36" t="s">
        <v>31</v>
      </c>
    </row>
    <row r="28" spans="1:8" x14ac:dyDescent="0.25">
      <c r="A28" s="18" t="s">
        <v>16</v>
      </c>
      <c r="B28" s="29">
        <f>509734/(0.65*0.000755688325415091*B20*C20*D20)/471</f>
        <v>2205165.3062203447</v>
      </c>
      <c r="C28" s="30">
        <f>4139/(0.21*0.55*B24*C24*D24)/471</f>
        <v>76.094622092707453</v>
      </c>
      <c r="D28" s="31">
        <f>B28/C28</f>
        <v>28979.253008625918</v>
      </c>
      <c r="E28" s="31">
        <f>81137-D28</f>
        <v>52157.746991374079</v>
      </c>
      <c r="F28" s="32">
        <f>IF(509734&lt;500,0,IF(456&lt;8,"",E28/87137))</f>
        <v>0.59857175472387247</v>
      </c>
      <c r="H28" s="36">
        <f>SUMSQ(F28:F30,0)</f>
        <v>2.0353572591624034</v>
      </c>
    </row>
    <row r="29" spans="1:8" x14ac:dyDescent="0.25">
      <c r="A29" s="19" t="s">
        <v>17</v>
      </c>
      <c r="B29" s="9">
        <f>23257/(0.75*0.108550390958491*B21*C21*D21)/471</f>
        <v>606.71741044964597</v>
      </c>
      <c r="C29" s="23">
        <f>4139/(0.21*0.55*B23*C23*D23)/471</f>
        <v>76.107748550779078</v>
      </c>
      <c r="D29" s="24">
        <f>B29/C29</f>
        <v>7.9718218184426277</v>
      </c>
      <c r="E29" s="24">
        <f>45-D29</f>
        <v>37.028178181557372</v>
      </c>
      <c r="F29" s="25">
        <f>IF(23257&lt;500,0,IF(4139&lt;50,"",E29/45))</f>
        <v>0.82284840403460824</v>
      </c>
    </row>
    <row r="30" spans="1:8" ht="15.75" thickBot="1" x14ac:dyDescent="0.3">
      <c r="A30" s="19" t="s">
        <v>2</v>
      </c>
      <c r="B30" s="12">
        <f>23257/(0.75*0.108550390958491*B21*C21*D21)/471</f>
        <v>606.71741044964597</v>
      </c>
      <c r="C30" s="26">
        <f>509734/(0.65*0.000755688325415091*B20*C20*D20)/471</f>
        <v>2205165.3062203447</v>
      </c>
      <c r="D30" s="27">
        <f>B30/C30</f>
        <v>2.7513466166831737E-4</v>
      </c>
      <c r="E30" s="27">
        <f>53-D30</f>
        <v>52.999724865338329</v>
      </c>
      <c r="F30" s="28">
        <f>IF(31960&lt;500,0,IF(4139&lt;50,"",E30/53))</f>
        <v>0.99999480877996849</v>
      </c>
    </row>
    <row r="33" spans="1:8" ht="15.75" thickBot="1" x14ac:dyDescent="0.3"/>
    <row r="34" spans="1:8" ht="15.75" thickBot="1" x14ac:dyDescent="0.3">
      <c r="A34" t="s">
        <v>23</v>
      </c>
      <c r="B34" s="21" t="s">
        <v>25</v>
      </c>
      <c r="C34" s="33" t="s">
        <v>26</v>
      </c>
      <c r="D34" s="33"/>
      <c r="E34" s="33"/>
      <c r="F34" s="22"/>
      <c r="H34" s="36" t="s">
        <v>32</v>
      </c>
    </row>
    <row r="35" spans="1:8" x14ac:dyDescent="0.25">
      <c r="A35" s="18" t="s">
        <v>16</v>
      </c>
      <c r="B35" s="29">
        <f>509734/(0.65*0.000755688325415091*E20*F20*G20)/471</f>
        <v>2205165.3062203447</v>
      </c>
      <c r="C35" s="30">
        <f>4139/(0.21*0.55*E24*F24*G24)/471</f>
        <v>76.149500718606106</v>
      </c>
      <c r="D35" s="31">
        <f>B35/C35</f>
        <v>28958.368543597586</v>
      </c>
      <c r="E35" s="31">
        <f>81137-D35</f>
        <v>52178.631456402414</v>
      </c>
      <c r="F35" s="32">
        <f>IF(509734&lt;500,0,IF(456&lt;8,"",E35/87137))</f>
        <v>0.59881142862850933</v>
      </c>
      <c r="H35" s="36">
        <f>SUMSQ(F35:F37,0)</f>
        <v>2.0356509397903375</v>
      </c>
    </row>
    <row r="36" spans="1:8" x14ac:dyDescent="0.25">
      <c r="A36" s="19" t="s">
        <v>17</v>
      </c>
      <c r="B36" s="9">
        <f>23257/(0.75*0.108550390958491*E21*F21*G21)/471</f>
        <v>607.03629081153088</v>
      </c>
      <c r="C36" s="23">
        <f>4139/(0.21*0.55*E23*F23*G23)/471</f>
        <v>76.149500718606106</v>
      </c>
      <c r="D36" s="24">
        <f>B36/C36</f>
        <v>7.971638488539817</v>
      </c>
      <c r="E36" s="24">
        <f>45-D36</f>
        <v>37.028361511460183</v>
      </c>
      <c r="F36" s="25">
        <f>IF(23257&lt;500,0,IF(4139&lt;50,"",E36/45))</f>
        <v>0.82285247803244854</v>
      </c>
    </row>
    <row r="37" spans="1:8" ht="15.75" thickBot="1" x14ac:dyDescent="0.3">
      <c r="A37" s="19" t="s">
        <v>2</v>
      </c>
      <c r="B37" s="12">
        <f>23257/(0.75*0.108550390958491*E22*F22*G22)/471</f>
        <v>607.03629081153088</v>
      </c>
      <c r="C37" s="26">
        <f>509734/(0.65*0.000755688325415091*E20*F20*G20)/471</f>
        <v>2205165.3062203447</v>
      </c>
      <c r="D37" s="27">
        <f>B37/C37</f>
        <v>2.7527926777153576E-4</v>
      </c>
      <c r="E37" s="27">
        <f>53-D37</f>
        <v>52.999724720732232</v>
      </c>
      <c r="F37" s="28">
        <f>IF(31960&lt;500,0,IF(4139&lt;50,"",E37/53))</f>
        <v>0.99999480605155155</v>
      </c>
    </row>
    <row r="39" spans="1:8" x14ac:dyDescent="0.25">
      <c r="F39" s="37"/>
      <c r="G39" s="38" t="s">
        <v>30</v>
      </c>
      <c r="H39" s="39">
        <f>H28+H35</f>
        <v>4.0710081989527414</v>
      </c>
    </row>
  </sheetData>
  <mergeCells count="2">
    <mergeCell ref="B18:D18"/>
    <mergeCell ref="E18:G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SV</dc:creator>
  <cp:lastModifiedBy>Christophe SV</cp:lastModifiedBy>
  <dcterms:created xsi:type="dcterms:W3CDTF">2022-07-03T07:27:46Z</dcterms:created>
  <dcterms:modified xsi:type="dcterms:W3CDTF">2022-07-03T09:08:06Z</dcterms:modified>
</cp:coreProperties>
</file>