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codeName="ThisWorkbook" hidePivotFieldList="1" defaultThemeVersion="124226"/>
  <bookViews>
    <workbookView xWindow="1005" yWindow="1725" windowWidth="18915" windowHeight="10905" tabRatio="933"/>
  </bookViews>
  <sheets>
    <sheet name="Tableau de bord" sheetId="17" r:id="rId1"/>
    <sheet name="FACTURE" sheetId="1" r:id="rId2"/>
    <sheet name="VE" sheetId="4" r:id="rId3"/>
    <sheet name="AC" sheetId="6" r:id="rId4"/>
    <sheet name="OD" sheetId="7" r:id="rId5"/>
    <sheet name="ESP VE" sheetId="26" r:id="rId6"/>
    <sheet name="CAISSE" sheetId="11" r:id="rId7"/>
    <sheet name="BANQUE" sheetId="12" r:id="rId8"/>
    <sheet name="PRODUITS" sheetId="2" r:id="rId9"/>
    <sheet name="CREANCES" sheetId="22" r:id="rId10"/>
    <sheet name="DETTES" sheetId="21" r:id="rId11"/>
    <sheet name="CLIENTS" sheetId="5" r:id="rId12"/>
    <sheet name="RELANCE 1" sheetId="29" r:id="rId13"/>
  </sheets>
  <externalReferences>
    <externalReference r:id="rId14"/>
  </externalReferences>
  <definedNames>
    <definedName name="BL">PRODUITS!$F$1:$F$50</definedName>
    <definedName name="BLMOIS">PRODUITS!$F$1:$F$62</definedName>
    <definedName name="CLIENTS">CLIENTS!$1:$1048576</definedName>
    <definedName name="CODE">CLIENTS!$A:$A</definedName>
    <definedName name="F">#REF!</definedName>
    <definedName name="ListeDesTaux">Tableau7[[#All],[TVA
5,5 %]:[TVA
20 %]]</definedName>
    <definedName name="OD">Tableau12[#All]</definedName>
    <definedName name="produits">Tableau2[Produits]</definedName>
    <definedName name="Tableau">Tableau2[#All]</definedName>
    <definedName name="TableauCL">CLIENTS!$A$2:$M$4</definedName>
    <definedName name="TableauOD">Tableau12[#All]</definedName>
    <definedName name="VE">Tableau7[]</definedName>
    <definedName name="VEN">'[1]F &amp; C'!$F$2:$F$29</definedName>
  </definedNames>
  <calcPr calcId="125725"/>
  <pivotCaches>
    <pivotCache cacheId="119" r:id="rId15"/>
    <pivotCache cacheId="125" r:id="rId16"/>
  </pivotCaches>
</workbook>
</file>

<file path=xl/calcChain.xml><?xml version="1.0" encoding="utf-8"?>
<calcChain xmlns="http://schemas.openxmlformats.org/spreadsheetml/2006/main">
  <c r="J4" i="5"/>
  <c r="K4"/>
  <c r="L4"/>
  <c r="M13" i="29"/>
  <c r="K13"/>
  <c r="K12"/>
  <c r="M11"/>
  <c r="K11"/>
  <c r="K10"/>
  <c r="AK5" i="4"/>
  <c r="AK6"/>
  <c r="AL5"/>
  <c r="AL6"/>
  <c r="AM5"/>
  <c r="AM6"/>
  <c r="AO5"/>
  <c r="AO6"/>
  <c r="AP5"/>
  <c r="AP6"/>
  <c r="AQ5"/>
  <c r="AQ6"/>
  <c r="AR5"/>
  <c r="AR6"/>
  <c r="AK4"/>
  <c r="AL4"/>
  <c r="AM4"/>
  <c r="AO4"/>
  <c r="AP4"/>
  <c r="AQ4"/>
  <c r="AR4" s="1"/>
  <c r="J16" i="1" l="1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F1" i="6"/>
  <c r="G1" i="4" l="1"/>
  <c r="H1"/>
  <c r="AO3" l="1"/>
  <c r="AK3" l="1"/>
  <c r="N5" i="29" l="1"/>
  <c r="AO1" i="4" l="1"/>
  <c r="H12" i="1"/>
  <c r="AS4" i="4" l="1"/>
  <c r="AN4" s="1"/>
  <c r="AS6"/>
  <c r="AN6" s="1"/>
  <c r="AS5"/>
  <c r="AN5" s="1"/>
  <c r="AE3" i="7"/>
  <c r="AI3" i="6"/>
  <c r="AQ3" i="4"/>
  <c r="AR3" s="1"/>
  <c r="AS3" s="1"/>
  <c r="AN3" s="1"/>
  <c r="G3" i="11" l="1"/>
  <c r="H16" i="1" l="1"/>
  <c r="AL3" i="4" l="1"/>
  <c r="G4" i="1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AP3" i="4" l="1"/>
  <c r="AD3" i="7"/>
  <c r="AM3" i="4"/>
  <c r="AC3" i="7"/>
  <c r="AH3" i="6"/>
  <c r="AF3"/>
  <c r="AG3"/>
  <c r="A2" i="26" l="1"/>
  <c r="F12" i="1" l="1"/>
  <c r="AE3" i="6"/>
  <c r="L18" i="17" l="1"/>
  <c r="U18"/>
  <c r="Q18"/>
  <c r="M18"/>
  <c r="J18"/>
  <c r="R18"/>
  <c r="N18"/>
  <c r="S18"/>
  <c r="O18"/>
  <c r="K18"/>
  <c r="T18"/>
  <c r="P18"/>
  <c r="K4"/>
  <c r="P4"/>
  <c r="L4"/>
  <c r="T4"/>
  <c r="U4"/>
  <c r="Q4"/>
  <c r="M4"/>
  <c r="J4"/>
  <c r="R4"/>
  <c r="N4"/>
  <c r="S4"/>
  <c r="O4"/>
  <c r="AB3" i="7"/>
  <c r="C22" i="17"/>
  <c r="C32"/>
  <c r="I15" i="1" l="1"/>
  <c r="I16"/>
  <c r="J39" l="1"/>
  <c r="J38"/>
  <c r="D3" i="17"/>
  <c r="D4"/>
  <c r="D5"/>
  <c r="D6"/>
  <c r="B11"/>
  <c r="L3" i="5"/>
  <c r="C29" i="17"/>
  <c r="C19"/>
  <c r="C21"/>
  <c r="C31"/>
  <c r="K3" i="5"/>
  <c r="K1" s="1"/>
  <c r="J3"/>
  <c r="G1" i="6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E1"/>
  <c r="C30" i="17" s="1"/>
  <c r="C15" l="1"/>
  <c r="C16" s="1"/>
  <c r="C27"/>
  <c r="C28"/>
  <c r="C25"/>
  <c r="C26" s="1"/>
  <c r="H15" i="1"/>
  <c r="J15" s="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15"/>
  <c r="H9"/>
  <c r="H8"/>
  <c r="I7"/>
  <c r="F1" i="11"/>
  <c r="E1"/>
  <c r="G1" l="1"/>
  <c r="S1" i="4" l="1"/>
  <c r="T1"/>
  <c r="U1"/>
  <c r="V1"/>
  <c r="X1"/>
  <c r="Y1"/>
  <c r="Z1"/>
  <c r="F1"/>
  <c r="I1"/>
  <c r="J1"/>
  <c r="K1"/>
  <c r="M1"/>
  <c r="N1"/>
  <c r="O1"/>
  <c r="P1"/>
  <c r="Q1"/>
  <c r="R1"/>
  <c r="AA1"/>
  <c r="AB1"/>
  <c r="AC1"/>
  <c r="E1"/>
  <c r="I9" i="1"/>
  <c r="H7"/>
  <c r="H6"/>
  <c r="C20" i="17" l="1"/>
  <c r="C17"/>
  <c r="C18"/>
  <c r="F40" i="1" l="1"/>
  <c r="J40" l="1"/>
  <c r="A44"/>
  <c r="E44" s="1"/>
  <c r="A41"/>
  <c r="E41" s="1"/>
  <c r="A42"/>
  <c r="E42" s="1"/>
  <c r="A43"/>
  <c r="E43" s="1"/>
  <c r="J41" l="1"/>
  <c r="J42" s="1"/>
  <c r="J44" s="1"/>
</calcChain>
</file>

<file path=xl/comments1.xml><?xml version="1.0" encoding="utf-8"?>
<comments xmlns="http://schemas.openxmlformats.org/spreadsheetml/2006/main">
  <authors>
    <author>Vivi 07</author>
  </authors>
  <commentList>
    <comment ref="H1" authorId="0">
      <text>
        <r>
          <rPr>
            <sz val="9"/>
            <color indexed="81"/>
            <rFont val="Tahoma"/>
            <family val="2"/>
          </rPr>
          <t xml:space="preserve">Saisir le montant de la caisse au 01/01 de l'année en cours
</t>
        </r>
      </text>
    </comment>
  </commentList>
</comments>
</file>

<file path=xl/sharedStrings.xml><?xml version="1.0" encoding="utf-8"?>
<sst xmlns="http://schemas.openxmlformats.org/spreadsheetml/2006/main" count="438" uniqueCount="296">
  <si>
    <t>TOTAL HT</t>
  </si>
  <si>
    <t>SOUS TOTAL HT</t>
  </si>
  <si>
    <t>Base HT</t>
  </si>
  <si>
    <t>% TVA</t>
  </si>
  <si>
    <t>TVA</t>
  </si>
  <si>
    <t>TOTAL TTC</t>
  </si>
  <si>
    <t>ACOMPTE</t>
  </si>
  <si>
    <t>A PAYER</t>
  </si>
  <si>
    <t>Désignation</t>
  </si>
  <si>
    <t>PU HT</t>
  </si>
  <si>
    <t>Unité</t>
  </si>
  <si>
    <t>Quantité</t>
  </si>
  <si>
    <t>Facture N°</t>
  </si>
  <si>
    <t>Échéance</t>
  </si>
  <si>
    <t>Mode de règlement</t>
  </si>
  <si>
    <t>Soit le</t>
  </si>
  <si>
    <t>Produits</t>
  </si>
  <si>
    <t>ht</t>
  </si>
  <si>
    <t>tva</t>
  </si>
  <si>
    <t>Kg</t>
  </si>
  <si>
    <t>FACTURE 
NUMERO</t>
  </si>
  <si>
    <t>DATE</t>
  </si>
  <si>
    <t>TTC</t>
  </si>
  <si>
    <t>HT</t>
  </si>
  <si>
    <t>TVA
5,5 %</t>
  </si>
  <si>
    <t>TVA
7 %</t>
  </si>
  <si>
    <t>TVA
10 %</t>
  </si>
  <si>
    <t>TVA
20 %</t>
  </si>
  <si>
    <t>Nos références bancaires :</t>
  </si>
  <si>
    <t>IBAN :</t>
  </si>
  <si>
    <t>BIC :</t>
  </si>
  <si>
    <t xml:space="preserve">Banque </t>
  </si>
  <si>
    <t>Guichet</t>
  </si>
  <si>
    <t xml:space="preserve">Compte </t>
  </si>
  <si>
    <t>Clé RIB</t>
  </si>
  <si>
    <t>BL</t>
  </si>
  <si>
    <t>Client</t>
  </si>
  <si>
    <t>Montant TVA</t>
  </si>
  <si>
    <t>NUMERO</t>
  </si>
  <si>
    <t>RETIRE</t>
  </si>
  <si>
    <t>Fromage de chèvre</t>
  </si>
  <si>
    <t>Fromage de vache</t>
  </si>
  <si>
    <t>Tomme du Piqueberle</t>
  </si>
  <si>
    <t>Fourme</t>
  </si>
  <si>
    <t>Pot à l'huile</t>
  </si>
  <si>
    <t>Confiture de Lait</t>
  </si>
  <si>
    <t>Confiture de chataigne</t>
  </si>
  <si>
    <t>Veau</t>
  </si>
  <si>
    <t>Porc</t>
  </si>
  <si>
    <t>Chevreau</t>
  </si>
  <si>
    <t>Sac bretelle</t>
  </si>
  <si>
    <t>Sac jute naturel</t>
  </si>
  <si>
    <t>Caprin</t>
  </si>
  <si>
    <t>Bovin</t>
  </si>
  <si>
    <t>Chataigne</t>
  </si>
  <si>
    <t>Raisin</t>
  </si>
  <si>
    <t>CODE</t>
  </si>
  <si>
    <t>ENTREPRISE</t>
  </si>
  <si>
    <t>NOM</t>
  </si>
  <si>
    <t>PRENOM</t>
  </si>
  <si>
    <t>ADRESSE</t>
  </si>
  <si>
    <t>CP</t>
  </si>
  <si>
    <t>VILLE</t>
  </si>
  <si>
    <t>TELEPHONE</t>
  </si>
  <si>
    <t>EMAIL</t>
  </si>
  <si>
    <t>Nbre Facture</t>
  </si>
  <si>
    <t>MONTANT Facture</t>
  </si>
  <si>
    <t>IDENTIFIANT</t>
  </si>
  <si>
    <t>Pascal</t>
  </si>
  <si>
    <t>Le Fayet</t>
  </si>
  <si>
    <t>BL 1</t>
  </si>
  <si>
    <t>BL 2</t>
  </si>
  <si>
    <t>BL 3</t>
  </si>
  <si>
    <t>BL 4</t>
  </si>
  <si>
    <t>BL 5</t>
  </si>
  <si>
    <t>BL 6</t>
  </si>
  <si>
    <t>BL 7</t>
  </si>
  <si>
    <t>BL 8</t>
  </si>
  <si>
    <t>BL 9</t>
  </si>
  <si>
    <t>BL 10</t>
  </si>
  <si>
    <t>BL 11</t>
  </si>
  <si>
    <t>BL 12</t>
  </si>
  <si>
    <t>BL 13</t>
  </si>
  <si>
    <t>BL 14</t>
  </si>
  <si>
    <t>BL 15</t>
  </si>
  <si>
    <t>BL 16</t>
  </si>
  <si>
    <t>BL 17</t>
  </si>
  <si>
    <t>BL 18</t>
  </si>
  <si>
    <t>BL 19</t>
  </si>
  <si>
    <t>BL 20</t>
  </si>
  <si>
    <t>BL 21</t>
  </si>
  <si>
    <t>BL 22</t>
  </si>
  <si>
    <t>BL 23</t>
  </si>
  <si>
    <t>BL 24</t>
  </si>
  <si>
    <t>BL 25</t>
  </si>
  <si>
    <t>BL 26</t>
  </si>
  <si>
    <t>BL 27</t>
  </si>
  <si>
    <t>BL 28</t>
  </si>
  <si>
    <t>BL 29</t>
  </si>
  <si>
    <t>BL 30</t>
  </si>
  <si>
    <t>BL 31</t>
  </si>
  <si>
    <t>BL 32</t>
  </si>
  <si>
    <t>BL 33</t>
  </si>
  <si>
    <t>BL 34</t>
  </si>
  <si>
    <t>BL 35</t>
  </si>
  <si>
    <t>BL 36</t>
  </si>
  <si>
    <t>BL 37</t>
  </si>
  <si>
    <t>BL 38</t>
  </si>
  <si>
    <t>BL 39</t>
  </si>
  <si>
    <t>BL 40</t>
  </si>
  <si>
    <t>BL 41</t>
  </si>
  <si>
    <t>BL 42</t>
  </si>
  <si>
    <t>BL 43</t>
  </si>
  <si>
    <t>BL 44</t>
  </si>
  <si>
    <t>BL 45</t>
  </si>
  <si>
    <t>BL 46</t>
  </si>
  <si>
    <t>BL 47</t>
  </si>
  <si>
    <t>BL 48</t>
  </si>
  <si>
    <t>BL 49</t>
  </si>
  <si>
    <t>BL 50</t>
  </si>
  <si>
    <t>TOTAUX</t>
  </si>
  <si>
    <t>Taux TVA</t>
  </si>
  <si>
    <t>n° Client</t>
  </si>
  <si>
    <t>CLIENT</t>
  </si>
  <si>
    <t>CL1</t>
  </si>
  <si>
    <t>CL2</t>
  </si>
  <si>
    <t>CHQ</t>
  </si>
  <si>
    <t>ESP</t>
  </si>
  <si>
    <t>FACTURE
NUMERO</t>
  </si>
  <si>
    <t>FOURNISSEURS</t>
  </si>
  <si>
    <t>LIBELLES</t>
  </si>
  <si>
    <t>TVA
1 %</t>
  </si>
  <si>
    <t>TVA IMMO
20 %</t>
  </si>
  <si>
    <t>Immobilisations</t>
  </si>
  <si>
    <t>Animaux</t>
  </si>
  <si>
    <t>Engrais</t>
  </si>
  <si>
    <t>Semences et 
plants</t>
  </si>
  <si>
    <t>Produits de
défense végétaux</t>
  </si>
  <si>
    <t>Aliments
 animaux</t>
  </si>
  <si>
    <t>Produits
vétérinaires</t>
  </si>
  <si>
    <t>Prestations animaux</t>
  </si>
  <si>
    <t>Autres produits et
prestations</t>
  </si>
  <si>
    <t>Carburant
fioul</t>
  </si>
  <si>
    <t>Autres biens et 
marchandises</t>
  </si>
  <si>
    <t>Fournitures
BUREAU</t>
  </si>
  <si>
    <t>Fournitures
FROMAGERIE</t>
  </si>
  <si>
    <t>Entretien
réparation</t>
  </si>
  <si>
    <t>MODE</t>
  </si>
  <si>
    <t>NUMERO
FACTURE</t>
  </si>
  <si>
    <t>Factures
ss TVA</t>
  </si>
  <si>
    <t>GROUPAMA
Assurances</t>
  </si>
  <si>
    <t>IMPOT</t>
  </si>
  <si>
    <t>Crédit
agricole</t>
  </si>
  <si>
    <t>MSA
GAEC</t>
  </si>
  <si>
    <t>MSA
FLORENT</t>
  </si>
  <si>
    <t>MSA
VIRGINIE</t>
  </si>
  <si>
    <t>SALAIRES
TESA</t>
  </si>
  <si>
    <t>SALAIRES
Permanents</t>
  </si>
  <si>
    <t>SALAIRES
Gérants</t>
  </si>
  <si>
    <t>Fermages</t>
  </si>
  <si>
    <t>Avoirs</t>
  </si>
  <si>
    <t>GROUPAMA
Subventions</t>
  </si>
  <si>
    <t>Autres
subventions</t>
  </si>
  <si>
    <t>SYNDICAT
VIGNERONS</t>
  </si>
  <si>
    <t>REMISES
AUTRES</t>
  </si>
  <si>
    <t>PAC</t>
  </si>
  <si>
    <t>REMISE</t>
  </si>
  <si>
    <t>MOIS</t>
  </si>
  <si>
    <t>Total général</t>
  </si>
  <si>
    <t>FACTURE</t>
  </si>
  <si>
    <t>ordre</t>
  </si>
  <si>
    <t>DEBIT</t>
  </si>
  <si>
    <t>CREDIT</t>
  </si>
  <si>
    <t>solde</t>
  </si>
  <si>
    <t>N°DEPOT</t>
  </si>
  <si>
    <t>CREDIT AGRICOLE</t>
  </si>
  <si>
    <t>MSA</t>
  </si>
  <si>
    <t>NATURA PRO</t>
  </si>
  <si>
    <t>2018/VE/00001</t>
  </si>
  <si>
    <t>2018/VE/00002</t>
  </si>
  <si>
    <t>2018/VE/00003</t>
  </si>
  <si>
    <t>2018/VE/00004</t>
  </si>
  <si>
    <t>2018/VE/00005</t>
  </si>
  <si>
    <t>2018/AC/00001</t>
  </si>
  <si>
    <t>Fournitures
ANIMAUX
PAILLE/FOIN</t>
  </si>
  <si>
    <t>ALIMENTS ANIMAUX</t>
  </si>
  <si>
    <t>2018/OD/00001</t>
  </si>
  <si>
    <t>Menu</t>
  </si>
  <si>
    <t>Achat</t>
  </si>
  <si>
    <t>Vente</t>
  </si>
  <si>
    <t>Opérations diverses</t>
  </si>
  <si>
    <t>Caisse</t>
  </si>
  <si>
    <t>Banque</t>
  </si>
  <si>
    <t>Compte de résultat</t>
  </si>
  <si>
    <t>Synthèse</t>
  </si>
  <si>
    <t>Cerfa TVA</t>
  </si>
  <si>
    <t>Facture</t>
  </si>
  <si>
    <t>Montant Max</t>
  </si>
  <si>
    <t>Meilleur Client</t>
  </si>
  <si>
    <t>Montant Min</t>
  </si>
  <si>
    <t>Montant Moyen</t>
  </si>
  <si>
    <t>Montant Médian</t>
  </si>
  <si>
    <t>Montant total</t>
  </si>
  <si>
    <t>Nombre de facture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</si>
  <si>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</si>
  <si>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</si>
  <si>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</si>
  <si>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</si>
  <si>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</si>
  <si>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</si>
  <si>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</si>
  <si>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</si>
  <si>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</si>
  <si>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</si>
  <si>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</si>
  <si>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</si>
  <si>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/ mois</t>
  </si>
  <si>
    <t>Fournisseurs</t>
  </si>
  <si>
    <t>Clients</t>
  </si>
  <si>
    <t>Récapitulatif Vente</t>
  </si>
  <si>
    <t>Récapitulatif Achat</t>
  </si>
  <si>
    <t>Meilleur Fournisseur</t>
  </si>
  <si>
    <t>Créances Client</t>
  </si>
  <si>
    <t>Dettes Fournisseurs</t>
  </si>
  <si>
    <t>MONTANT</t>
  </si>
  <si>
    <t>mois</t>
  </si>
  <si>
    <t>VENTE</t>
  </si>
  <si>
    <t>ACHAT</t>
  </si>
  <si>
    <t>Nouveau Client</t>
  </si>
  <si>
    <t xml:space="preserve">Nom </t>
  </si>
  <si>
    <t>Prénom</t>
  </si>
  <si>
    <t>Code Client</t>
  </si>
  <si>
    <t>Entreprise</t>
  </si>
  <si>
    <t>Adresse</t>
  </si>
  <si>
    <t>Ville</t>
  </si>
  <si>
    <t>Téléphone</t>
  </si>
  <si>
    <t>Autres 3.8</t>
  </si>
  <si>
    <t>Bilan OD</t>
  </si>
  <si>
    <t>Bilan AC</t>
  </si>
  <si>
    <t>Bilan VE</t>
  </si>
  <si>
    <t>Créances Clients</t>
  </si>
  <si>
    <t xml:space="preserve"> Dettes fournisseurs</t>
  </si>
  <si>
    <t>Paiement</t>
  </si>
  <si>
    <t>TVA
REMBOURSEMENT</t>
  </si>
  <si>
    <t>PENALITES 2017</t>
  </si>
  <si>
    <t>OK</t>
  </si>
  <si>
    <t>FEVRIER</t>
  </si>
  <si>
    <t>Autres 4.50</t>
  </si>
  <si>
    <t>CREANCES CLIENTS</t>
  </si>
  <si>
    <t>DETTES FOURNISSEURS</t>
  </si>
  <si>
    <t xml:space="preserve">TTC </t>
  </si>
  <si>
    <t>CLIENTS</t>
  </si>
  <si>
    <t xml:space="preserve">TTC  </t>
  </si>
  <si>
    <t>VENTES</t>
  </si>
  <si>
    <t>ACHATS</t>
  </si>
  <si>
    <t>FOURNISSEURS2</t>
  </si>
  <si>
    <t>MONTANT TTC</t>
  </si>
  <si>
    <t>FOURNISSEURS3</t>
  </si>
  <si>
    <t>Autres</t>
  </si>
  <si>
    <t xml:space="preserve"> </t>
  </si>
  <si>
    <t>ECHEANCE</t>
  </si>
  <si>
    <t xml:space="preserve">DATE </t>
  </si>
  <si>
    <t>RETARD</t>
  </si>
  <si>
    <t>Statut</t>
  </si>
  <si>
    <t xml:space="preserve">FACTURE </t>
  </si>
  <si>
    <t xml:space="preserve">FOURNISSEURS </t>
  </si>
  <si>
    <t xml:space="preserve">Madame, monsieur, </t>
  </si>
  <si>
    <t>SANILHAC le</t>
  </si>
  <si>
    <t>Objet:</t>
  </si>
  <si>
    <t>Code client:</t>
  </si>
  <si>
    <t>Sauf erreur ou omission de notre part, après vérification de votre compte, nous</t>
  </si>
  <si>
    <t xml:space="preserve"> constatons que le règlement des factures ci-dessous ne nous est pas parvenu à ce jour : </t>
  </si>
  <si>
    <t xml:space="preserve">Nous vous prions de bien vouloir procéder à leurs règlements dans les meilleurs </t>
  </si>
  <si>
    <t>délais, et vous adressons, à toutes fins utiles, un duplicata des factures en pièce jointe</t>
  </si>
  <si>
    <t>Si par ailleurs votre paiement venait à nous parvenir avant réception de la présente,</t>
  </si>
  <si>
    <t xml:space="preserve"> nous vous en serions gré de ne pas en tenir compte.</t>
  </si>
  <si>
    <t>Vous remerciant par avance de faire le nécessaire, et restant à votre entière disposition,</t>
  </si>
  <si>
    <t xml:space="preserve">pour toute information complémentaire, </t>
  </si>
  <si>
    <t>Nous vous prions d’agréer, Madame, Monsieur, l’expression de nos salutations distinguées.</t>
  </si>
  <si>
    <t>CreancesClients</t>
  </si>
  <si>
    <t>1ere RELANCE</t>
  </si>
  <si>
    <t>2ème RELANCE</t>
  </si>
  <si>
    <t>Immobilisation</t>
  </si>
  <si>
    <t>3ème RELANCE</t>
  </si>
  <si>
    <t>4ème RELANCE</t>
  </si>
  <si>
    <t>:</t>
  </si>
  <si>
    <t>Toute somme non payée à l'échéance entrainera de plein droit le paiement d'intérêts de retard au taux minimun de 3 fois le taux d'intérêt légal 
et une indemnité forfaitaire pour frais de recouvrement de 40€ conformément à l'article D. 441-6 et D. 441-5 du Code du Commerce.</t>
  </si>
  <si>
    <t>FACTURES
VENTE
SS TVA</t>
  </si>
  <si>
    <t>FOIN</t>
  </si>
  <si>
    <t>Miel 500g</t>
  </si>
  <si>
    <t>Miel 1kg</t>
  </si>
  <si>
    <t>DI PIERRA</t>
  </si>
  <si>
    <t>VERS</t>
  </si>
  <si>
    <t>MARCO</t>
  </si>
  <si>
    <t>Polo</t>
  </si>
  <si>
    <t>Le fez</t>
  </si>
</sst>
</file>

<file path=xl/styles.xml><?xml version="1.0" encoding="utf-8"?>
<styleSheet xmlns="http://schemas.openxmlformats.org/spreadsheetml/2006/main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0.0%"/>
    <numFmt numFmtId="167" formatCode="#,##0.00\ _€"/>
    <numFmt numFmtId="168" formatCode="00000"/>
    <numFmt numFmtId="169" formatCode="0#&quot; &quot;##&quot; &quot;##&quot; &quot;##&quot; &quot;##"/>
  </numFmts>
  <fonts count="72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63"/>
      <name val="Verdana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i/>
      <sz val="10"/>
      <name val="Arial"/>
      <family val="2"/>
    </font>
    <font>
      <i/>
      <sz val="8"/>
      <color indexed="63"/>
      <name val="Verdana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u/>
      <sz val="12"/>
      <color theme="10"/>
      <name val="Calibri"/>
      <family val="2"/>
    </font>
    <font>
      <b/>
      <sz val="14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  <font>
      <b/>
      <sz val="10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Verdana"/>
      <family val="2"/>
    </font>
    <font>
      <u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3300"/>
      </right>
      <top/>
      <bottom style="thin">
        <color rgb="FF003300"/>
      </bottom>
      <diagonal/>
    </border>
    <border>
      <left style="thin">
        <color rgb="FF003300"/>
      </left>
      <right style="thin">
        <color rgb="FF003300"/>
      </right>
      <top/>
      <bottom style="thin">
        <color rgb="FF003300"/>
      </bottom>
      <diagonal/>
    </border>
    <border>
      <left style="thin">
        <color rgb="FF003300"/>
      </left>
      <right/>
      <top/>
      <bottom style="thin">
        <color rgb="FF003300"/>
      </bottom>
      <diagonal/>
    </border>
    <border>
      <left/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/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/>
      <top style="thin">
        <color rgb="FF0033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3300"/>
      </right>
      <top style="thin">
        <color rgb="FF0033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6"/>
      </top>
      <bottom/>
      <diagonal/>
    </border>
    <border>
      <left style="thin">
        <color indexed="64"/>
      </left>
      <right/>
      <top style="thin">
        <color theme="6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6"/>
      </top>
      <bottom/>
      <diagonal/>
    </border>
  </borders>
  <cellStyleXfs count="6">
    <xf numFmtId="0" fontId="0" fillId="0" borderId="0"/>
    <xf numFmtId="0" fontId="11" fillId="3" borderId="0" applyNumberFormat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52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/>
    <xf numFmtId="0" fontId="21" fillId="0" borderId="0" xfId="0" applyFont="1" applyAlignment="1"/>
    <xf numFmtId="0" fontId="18" fillId="0" borderId="0" xfId="0" applyFont="1" applyAlignment="1">
      <alignment horizontal="right"/>
    </xf>
    <xf numFmtId="0" fontId="12" fillId="0" borderId="29" xfId="0" applyFont="1" applyBorder="1" applyAlignment="1">
      <alignment horizontal="center" vertical="center"/>
    </xf>
    <xf numFmtId="167" fontId="0" fillId="0" borderId="34" xfId="0" applyNumberFormat="1" applyBorder="1" applyAlignment="1">
      <alignment horizontal="right"/>
    </xf>
    <xf numFmtId="10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 indent="2"/>
    </xf>
    <xf numFmtId="165" fontId="24" fillId="2" borderId="4" xfId="0" applyNumberFormat="1" applyFont="1" applyFill="1" applyBorder="1" applyAlignment="1">
      <alignment horizontal="right" vertical="center" indent="2"/>
    </xf>
    <xf numFmtId="165" fontId="1" fillId="0" borderId="4" xfId="0" applyNumberFormat="1" applyFont="1" applyBorder="1" applyAlignment="1">
      <alignment horizontal="right" vertical="center" indent="2"/>
    </xf>
    <xf numFmtId="165" fontId="25" fillId="0" borderId="16" xfId="3" applyNumberFormat="1" applyFont="1" applyBorder="1" applyAlignment="1">
      <alignment horizontal="right" vertical="center" indent="2"/>
    </xf>
    <xf numFmtId="165" fontId="22" fillId="0" borderId="43" xfId="0" applyNumberFormat="1" applyFont="1" applyFill="1" applyBorder="1" applyAlignment="1">
      <alignment horizontal="right" vertical="center" indent="2"/>
    </xf>
    <xf numFmtId="165" fontId="16" fillId="0" borderId="7" xfId="0" applyNumberFormat="1" applyFont="1" applyFill="1" applyBorder="1" applyAlignment="1">
      <alignment horizontal="right" vertical="center" indent="2"/>
    </xf>
    <xf numFmtId="0" fontId="0" fillId="0" borderId="53" xfId="0" applyBorder="1" applyAlignment="1">
      <alignment horizontal="left" indent="1"/>
    </xf>
    <xf numFmtId="165" fontId="12" fillId="4" borderId="15" xfId="0" applyNumberFormat="1" applyFont="1" applyFill="1" applyBorder="1" applyAlignment="1">
      <alignment horizontal="right" vertical="center" indent="2"/>
    </xf>
    <xf numFmtId="0" fontId="19" fillId="4" borderId="25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horizontal="center" vertical="center"/>
    </xf>
    <xf numFmtId="0" fontId="17" fillId="4" borderId="15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4" fontId="0" fillId="0" borderId="6" xfId="0" applyNumberFormat="1" applyFont="1" applyBorder="1" applyAlignment="1">
      <alignment horizontal="center" vertical="center"/>
    </xf>
    <xf numFmtId="0" fontId="0" fillId="0" borderId="0" xfId="0" applyFont="1"/>
    <xf numFmtId="167" fontId="0" fillId="0" borderId="0" xfId="0" applyNumberFormat="1" applyAlignment="1">
      <alignment horizontal="right"/>
    </xf>
    <xf numFmtId="167" fontId="12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5" fillId="5" borderId="65" xfId="0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0" xfId="0" applyNumberFormat="1"/>
    <xf numFmtId="164" fontId="0" fillId="0" borderId="0" xfId="0" applyNumberFormat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indent="1"/>
    </xf>
    <xf numFmtId="167" fontId="37" fillId="2" borderId="36" xfId="0" applyNumberFormat="1" applyFont="1" applyFill="1" applyBorder="1" applyAlignment="1">
      <alignment horizontal="right" vertical="center"/>
    </xf>
    <xf numFmtId="0" fontId="18" fillId="2" borderId="0" xfId="0" applyFont="1" applyFill="1"/>
    <xf numFmtId="164" fontId="19" fillId="2" borderId="46" xfId="0" applyNumberFormat="1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left" vertical="center" indent="1"/>
    </xf>
    <xf numFmtId="167" fontId="19" fillId="2" borderId="41" xfId="0" applyNumberFormat="1" applyFont="1" applyFill="1" applyBorder="1" applyAlignment="1">
      <alignment horizontal="center" vertical="center"/>
    </xf>
    <xf numFmtId="167" fontId="19" fillId="2" borderId="41" xfId="4" applyNumberFormat="1" applyFont="1" applyFill="1" applyBorder="1" applyAlignment="1">
      <alignment horizontal="center" vertical="center"/>
    </xf>
    <xf numFmtId="167" fontId="19" fillId="2" borderId="45" xfId="4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indent="1"/>
    </xf>
    <xf numFmtId="167" fontId="18" fillId="0" borderId="0" xfId="0" applyNumberFormat="1" applyFont="1" applyFill="1" applyAlignment="1">
      <alignment horizontal="right" vertical="center"/>
    </xf>
    <xf numFmtId="0" fontId="18" fillId="0" borderId="0" xfId="0" applyFont="1" applyFill="1"/>
    <xf numFmtId="0" fontId="39" fillId="0" borderId="4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indent="4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indent="6"/>
    </xf>
    <xf numFmtId="0" fontId="0" fillId="0" borderId="0" xfId="0" applyFont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5" fillId="0" borderId="0" xfId="0" applyFont="1" applyBorder="1"/>
    <xf numFmtId="0" fontId="15" fillId="0" borderId="38" xfId="0" applyFont="1" applyBorder="1"/>
    <xf numFmtId="168" fontId="29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/>
    <xf numFmtId="0" fontId="15" fillId="0" borderId="39" xfId="0" applyFont="1" applyBorder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168" fontId="43" fillId="0" borderId="0" xfId="0" applyNumberFormat="1" applyFont="1" applyAlignment="1">
      <alignment horizontal="left" vertical="center"/>
    </xf>
    <xf numFmtId="0" fontId="17" fillId="4" borderId="5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5" fontId="0" fillId="0" borderId="38" xfId="0" applyNumberFormat="1" applyBorder="1" applyAlignment="1">
      <alignment horizontal="right" vertical="center" indent="2"/>
    </xf>
    <xf numFmtId="165" fontId="0" fillId="0" borderId="9" xfId="0" applyNumberFormat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10" fontId="0" fillId="0" borderId="60" xfId="0" applyNumberFormat="1" applyBorder="1" applyAlignment="1">
      <alignment horizontal="center" vertical="center"/>
    </xf>
    <xf numFmtId="10" fontId="0" fillId="0" borderId="61" xfId="0" applyNumberFormat="1" applyBorder="1" applyAlignment="1">
      <alignment horizontal="center" vertical="center"/>
    </xf>
    <xf numFmtId="0" fontId="17" fillId="4" borderId="68" xfId="1" applyFont="1" applyFill="1" applyBorder="1" applyAlignment="1">
      <alignment horizontal="center" vertical="center"/>
    </xf>
    <xf numFmtId="0" fontId="17" fillId="4" borderId="63" xfId="1" applyFont="1" applyFill="1" applyBorder="1" applyAlignment="1">
      <alignment horizontal="center" vertical="center"/>
    </xf>
    <xf numFmtId="0" fontId="45" fillId="5" borderId="46" xfId="0" applyFont="1" applyFill="1" applyBorder="1" applyAlignment="1">
      <alignment horizontal="center" vertical="center" wrapText="1"/>
    </xf>
    <xf numFmtId="0" fontId="45" fillId="5" borderId="41" xfId="0" applyFont="1" applyFill="1" applyBorder="1" applyAlignment="1">
      <alignment horizontal="center" vertical="center"/>
    </xf>
    <xf numFmtId="0" fontId="45" fillId="5" borderId="41" xfId="0" applyFont="1" applyFill="1" applyBorder="1" applyAlignment="1">
      <alignment horizontal="center" vertical="center" wrapText="1"/>
    </xf>
    <xf numFmtId="0" fontId="45" fillId="5" borderId="4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9" fillId="0" borderId="18" xfId="0" applyFont="1" applyFill="1" applyBorder="1" applyAlignment="1">
      <alignment horizontal="center" vertical="center"/>
    </xf>
    <xf numFmtId="164" fontId="29" fillId="0" borderId="36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/>
    </xf>
    <xf numFmtId="167" fontId="45" fillId="5" borderId="41" xfId="0" applyNumberFormat="1" applyFont="1" applyFill="1" applyBorder="1" applyAlignment="1">
      <alignment horizontal="center" vertical="center" wrapText="1"/>
    </xf>
    <xf numFmtId="167" fontId="45" fillId="5" borderId="41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43" fontId="34" fillId="0" borderId="36" xfId="0" applyNumberFormat="1" applyFont="1" applyBorder="1" applyAlignment="1">
      <alignment horizontal="right" vertical="center"/>
    </xf>
    <xf numFmtId="167" fontId="14" fillId="0" borderId="36" xfId="4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49" fillId="6" borderId="36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36" fillId="8" borderId="0" xfId="0" applyFont="1" applyFill="1"/>
    <xf numFmtId="0" fontId="0" fillId="8" borderId="0" xfId="0" applyFill="1" applyBorder="1" applyAlignment="1">
      <alignment horizontal="center" vertical="center"/>
    </xf>
    <xf numFmtId="0" fontId="33" fillId="8" borderId="0" xfId="0" applyFont="1" applyFill="1"/>
    <xf numFmtId="0" fontId="33" fillId="8" borderId="0" xfId="0" applyFont="1" applyFill="1" applyAlignment="1">
      <alignment horizontal="center" vertical="center"/>
    </xf>
    <xf numFmtId="0" fontId="46" fillId="7" borderId="36" xfId="0" applyFont="1" applyFill="1" applyBorder="1" applyAlignment="1">
      <alignment horizontal="right" vertical="center" indent="1"/>
    </xf>
    <xf numFmtId="165" fontId="33" fillId="7" borderId="55" xfId="0" applyNumberFormat="1" applyFont="1" applyFill="1" applyBorder="1" applyAlignment="1">
      <alignment horizontal="left" vertical="center" indent="1"/>
    </xf>
    <xf numFmtId="0" fontId="11" fillId="7" borderId="18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27" fillId="7" borderId="36" xfId="0" applyFont="1" applyFill="1" applyBorder="1" applyAlignment="1">
      <alignment horizontal="right" vertical="center" indent="1"/>
    </xf>
    <xf numFmtId="1" fontId="33" fillId="7" borderId="55" xfId="0" applyNumberFormat="1" applyFont="1" applyFill="1" applyBorder="1" applyAlignment="1">
      <alignment horizontal="left" vertical="center" indent="1"/>
    </xf>
    <xf numFmtId="1" fontId="51" fillId="7" borderId="55" xfId="0" applyNumberFormat="1" applyFont="1" applyFill="1" applyBorder="1" applyAlignment="1">
      <alignment horizontal="left" vertical="center" indent="1"/>
    </xf>
    <xf numFmtId="0" fontId="33" fillId="7" borderId="36" xfId="0" applyFont="1" applyFill="1" applyBorder="1" applyAlignment="1">
      <alignment horizontal="left" vertical="center" indent="1"/>
    </xf>
    <xf numFmtId="0" fontId="40" fillId="7" borderId="36" xfId="0" applyFont="1" applyFill="1" applyBorder="1" applyAlignment="1">
      <alignment horizontal="left" vertical="center" indent="1"/>
    </xf>
    <xf numFmtId="0" fontId="46" fillId="7" borderId="36" xfId="0" applyFont="1" applyFill="1" applyBorder="1" applyAlignment="1">
      <alignment horizontal="left" vertical="center" indent="1"/>
    </xf>
    <xf numFmtId="0" fontId="34" fillId="7" borderId="18" xfId="0" applyFont="1" applyFill="1" applyBorder="1" applyAlignment="1">
      <alignment horizontal="center" vertical="center"/>
    </xf>
    <xf numFmtId="167" fontId="36" fillId="7" borderId="36" xfId="0" applyNumberFormat="1" applyFont="1" applyFill="1" applyBorder="1" applyAlignment="1">
      <alignment vertical="center"/>
    </xf>
    <xf numFmtId="0" fontId="52" fillId="8" borderId="0" xfId="0" applyFont="1" applyFill="1"/>
    <xf numFmtId="0" fontId="53" fillId="8" borderId="0" xfId="0" applyFont="1" applyFill="1"/>
    <xf numFmtId="0" fontId="34" fillId="7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left" indent="1"/>
    </xf>
    <xf numFmtId="0" fontId="12" fillId="0" borderId="0" xfId="0" applyFont="1" applyAlignment="1">
      <alignment horizontal="right"/>
    </xf>
    <xf numFmtId="0" fontId="10" fillId="0" borderId="42" xfId="0" applyFont="1" applyBorder="1" applyAlignment="1">
      <alignment horizontal="center" vertical="center"/>
    </xf>
    <xf numFmtId="165" fontId="0" fillId="0" borderId="61" xfId="0" applyNumberFormat="1" applyBorder="1" applyAlignment="1">
      <alignment horizontal="right" vertical="center" indent="2"/>
    </xf>
    <xf numFmtId="0" fontId="30" fillId="5" borderId="1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/>
    </xf>
    <xf numFmtId="14" fontId="0" fillId="0" borderId="36" xfId="0" applyNumberFormat="1" applyBorder="1" applyAlignment="1">
      <alignment horizontal="center"/>
    </xf>
    <xf numFmtId="167" fontId="0" fillId="0" borderId="36" xfId="0" applyNumberFormat="1" applyBorder="1" applyAlignment="1">
      <alignment horizontal="right"/>
    </xf>
    <xf numFmtId="0" fontId="0" fillId="0" borderId="36" xfId="0" applyBorder="1" applyAlignment="1">
      <alignment horizontal="center"/>
    </xf>
    <xf numFmtId="165" fontId="36" fillId="7" borderId="55" xfId="0" applyNumberFormat="1" applyFont="1" applyFill="1" applyBorder="1" applyAlignment="1">
      <alignment horizontal="left" vertical="center" indent="1"/>
    </xf>
    <xf numFmtId="168" fontId="15" fillId="7" borderId="55" xfId="0" applyNumberFormat="1" applyFont="1" applyFill="1" applyBorder="1" applyAlignment="1">
      <alignment horizontal="left" vertical="center" indent="1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33" fillId="5" borderId="31" xfId="0" applyFont="1" applyFill="1" applyBorder="1" applyAlignment="1">
      <alignment horizontal="center" vertical="center"/>
    </xf>
    <xf numFmtId="0" fontId="33" fillId="5" borderId="53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7" fontId="12" fillId="0" borderId="0" xfId="0" applyNumberFormat="1" applyFont="1" applyAlignment="1">
      <alignment horizontal="center" vertical="center"/>
    </xf>
    <xf numFmtId="167" fontId="0" fillId="0" borderId="36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57" fillId="5" borderId="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15" fillId="0" borderId="36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165" fontId="18" fillId="0" borderId="4" xfId="0" applyNumberFormat="1" applyFont="1" applyFill="1" applyBorder="1" applyAlignment="1">
      <alignment horizontal="right" vertical="center" indent="2"/>
    </xf>
    <xf numFmtId="0" fontId="35" fillId="5" borderId="66" xfId="0" applyFont="1" applyFill="1" applyBorder="1" applyAlignment="1">
      <alignment horizontal="center" vertical="center" wrapText="1"/>
    </xf>
    <xf numFmtId="0" fontId="36" fillId="0" borderId="0" xfId="0" applyFont="1"/>
    <xf numFmtId="0" fontId="35" fillId="5" borderId="57" xfId="0" applyFont="1" applyFill="1" applyBorder="1" applyAlignment="1">
      <alignment horizontal="center" vertical="center" wrapText="1"/>
    </xf>
    <xf numFmtId="164" fontId="35" fillId="5" borderId="56" xfId="0" applyNumberFormat="1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3" fontId="18" fillId="0" borderId="0" xfId="4" applyFont="1" applyFill="1" applyBorder="1" applyAlignment="1">
      <alignment horizontal="left" vertical="center"/>
    </xf>
    <xf numFmtId="43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3" fontId="0" fillId="0" borderId="0" xfId="4" applyNumberFormat="1" applyFont="1" applyFill="1" applyBorder="1" applyAlignment="1">
      <alignment horizontal="center" vertical="center"/>
    </xf>
    <xf numFmtId="43" fontId="14" fillId="0" borderId="36" xfId="4" applyFont="1" applyFill="1" applyBorder="1" applyAlignment="1">
      <alignment horizontal="right" vertical="center"/>
    </xf>
    <xf numFmtId="167" fontId="14" fillId="0" borderId="36" xfId="4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38" fillId="7" borderId="36" xfId="0" applyFont="1" applyFill="1" applyBorder="1" applyAlignment="1">
      <alignment vertical="center"/>
    </xf>
    <xf numFmtId="167" fontId="19" fillId="7" borderId="36" xfId="0" applyNumberFormat="1" applyFont="1" applyFill="1" applyBorder="1" applyAlignment="1"/>
    <xf numFmtId="167" fontId="39" fillId="7" borderId="36" xfId="0" applyNumberFormat="1" applyFont="1" applyFill="1" applyBorder="1" applyAlignment="1"/>
    <xf numFmtId="167" fontId="45" fillId="5" borderId="41" xfId="0" applyNumberFormat="1" applyFont="1" applyFill="1" applyBorder="1" applyAlignment="1">
      <alignment horizontal="right" vertical="center" wrapText="1"/>
    </xf>
    <xf numFmtId="167" fontId="14" fillId="0" borderId="36" xfId="4" applyNumberFormat="1" applyFont="1" applyFill="1" applyBorder="1" applyAlignment="1">
      <alignment horizontal="right" vertical="center" wrapText="1" indent="1"/>
    </xf>
    <xf numFmtId="167" fontId="0" fillId="0" borderId="0" xfId="0" applyNumberFormat="1" applyAlignment="1">
      <alignment horizontal="center" vertical="center"/>
    </xf>
    <xf numFmtId="0" fontId="0" fillId="0" borderId="36" xfId="0" pivotButton="1" applyBorder="1"/>
    <xf numFmtId="167" fontId="0" fillId="0" borderId="36" xfId="0" applyNumberFormat="1" applyBorder="1"/>
    <xf numFmtId="0" fontId="0" fillId="0" borderId="36" xfId="0" applyBorder="1" applyAlignment="1">
      <alignment horizontal="left"/>
    </xf>
    <xf numFmtId="167" fontId="0" fillId="0" borderId="36" xfId="0" applyNumberFormat="1" applyBorder="1" applyAlignment="1">
      <alignment horizontal="center" vertical="center"/>
    </xf>
    <xf numFmtId="0" fontId="0" fillId="0" borderId="36" xfId="0" pivotButton="1" applyBorder="1" applyAlignment="1">
      <alignment horizontal="center" vertical="center"/>
    </xf>
    <xf numFmtId="167" fontId="59" fillId="0" borderId="36" xfId="0" applyNumberFormat="1" applyFont="1" applyBorder="1"/>
    <xf numFmtId="0" fontId="61" fillId="0" borderId="0" xfId="5" applyNumberFormat="1" applyFont="1" applyFill="1" applyAlignment="1" applyProtection="1">
      <alignment vertical="center"/>
    </xf>
    <xf numFmtId="0" fontId="60" fillId="0" borderId="0" xfId="5" applyFont="1" applyAlignment="1" applyProtection="1">
      <alignment horizontal="center" vertical="center"/>
    </xf>
    <xf numFmtId="0" fontId="12" fillId="0" borderId="54" xfId="0" applyFont="1" applyBorder="1" applyAlignment="1">
      <alignment vertical="center"/>
    </xf>
    <xf numFmtId="0" fontId="30" fillId="5" borderId="2" xfId="0" applyFont="1" applyFill="1" applyBorder="1" applyAlignment="1">
      <alignment vertical="center" wrapText="1"/>
    </xf>
    <xf numFmtId="0" fontId="0" fillId="0" borderId="36" xfId="0" applyBorder="1" applyAlignment="1"/>
    <xf numFmtId="0" fontId="0" fillId="0" borderId="0" xfId="0" applyAlignment="1">
      <alignment horizontal="center" vertical="center"/>
    </xf>
    <xf numFmtId="167" fontId="0" fillId="0" borderId="56" xfId="0" applyNumberFormat="1" applyBorder="1" applyAlignment="1">
      <alignment horizontal="right"/>
    </xf>
    <xf numFmtId="0" fontId="30" fillId="5" borderId="64" xfId="0" applyFont="1" applyFill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center" indent="1"/>
    </xf>
    <xf numFmtId="49" fontId="31" fillId="0" borderId="0" xfId="0" applyNumberFormat="1" applyFont="1" applyFill="1" applyBorder="1" applyAlignment="1">
      <alignment horizontal="left" vertical="center" indent="1"/>
    </xf>
    <xf numFmtId="0" fontId="31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Alignment="1">
      <alignment horizontal="left" vertical="center"/>
    </xf>
    <xf numFmtId="168" fontId="18" fillId="0" borderId="0" xfId="0" applyNumberFormat="1" applyFont="1" applyAlignment="1">
      <alignment horizontal="left" vertical="center"/>
    </xf>
    <xf numFmtId="169" fontId="18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67" fontId="21" fillId="0" borderId="56" xfId="0" applyNumberFormat="1" applyFont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168" fontId="28" fillId="0" borderId="0" xfId="0" applyNumberFormat="1" applyFont="1" applyFill="1" applyBorder="1" applyAlignment="1">
      <alignment horizontal="left" vertical="center"/>
    </xf>
    <xf numFmtId="169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left" vertical="center"/>
    </xf>
    <xf numFmtId="167" fontId="28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31" fillId="0" borderId="0" xfId="0" applyNumberFormat="1" applyFont="1" applyFill="1" applyBorder="1" applyAlignment="1">
      <alignment horizontal="left" vertical="center"/>
    </xf>
    <xf numFmtId="168" fontId="31" fillId="0" borderId="0" xfId="0" applyNumberFormat="1" applyFont="1" applyFill="1" applyBorder="1" applyAlignment="1">
      <alignment horizontal="left" vertical="center"/>
    </xf>
    <xf numFmtId="169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" fontId="31" fillId="0" borderId="0" xfId="0" applyNumberFormat="1" applyFont="1" applyFill="1" applyBorder="1" applyAlignment="1">
      <alignment horizontal="left" vertical="center"/>
    </xf>
    <xf numFmtId="167" fontId="31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/>
    </xf>
    <xf numFmtId="167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 wrapText="1"/>
    </xf>
    <xf numFmtId="0" fontId="30" fillId="5" borderId="56" xfId="0" applyFont="1" applyFill="1" applyBorder="1" applyAlignment="1">
      <alignment vertical="center" wrapText="1"/>
    </xf>
    <xf numFmtId="0" fontId="30" fillId="5" borderId="56" xfId="0" applyFont="1" applyFill="1" applyBorder="1" applyAlignment="1">
      <alignment horizontal="center" vertical="center"/>
    </xf>
    <xf numFmtId="0" fontId="57" fillId="5" borderId="56" xfId="0" applyNumberFormat="1" applyFont="1" applyFill="1" applyBorder="1" applyAlignment="1">
      <alignment horizontal="center" vertical="center" wrapText="1"/>
    </xf>
    <xf numFmtId="167" fontId="0" fillId="2" borderId="0" xfId="0" applyNumberFormat="1" applyFill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7" fontId="12" fillId="0" borderId="0" xfId="0" applyNumberFormat="1" applyFont="1" applyAlignment="1">
      <alignment horizontal="right"/>
    </xf>
    <xf numFmtId="0" fontId="27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164" fontId="38" fillId="7" borderId="36" xfId="0" applyNumberFormat="1" applyFont="1" applyFill="1" applyBorder="1" applyAlignment="1">
      <alignment horizontal="center" vertical="center"/>
    </xf>
    <xf numFmtId="167" fontId="38" fillId="7" borderId="36" xfId="0" applyNumberFormat="1" applyFont="1" applyFill="1" applyBorder="1" applyAlignment="1"/>
    <xf numFmtId="167" fontId="44" fillId="0" borderId="36" xfId="0" applyNumberFormat="1" applyFont="1" applyBorder="1" applyAlignment="1">
      <alignment horizontal="right"/>
    </xf>
    <xf numFmtId="0" fontId="38" fillId="0" borderId="36" xfId="0" applyFont="1" applyFill="1" applyBorder="1" applyAlignment="1">
      <alignment horizontal="center" vertical="center"/>
    </xf>
    <xf numFmtId="164" fontId="38" fillId="0" borderId="36" xfId="0" applyNumberFormat="1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left" vertical="center"/>
    </xf>
    <xf numFmtId="43" fontId="44" fillId="0" borderId="36" xfId="4" applyFont="1" applyFill="1" applyBorder="1" applyAlignment="1">
      <alignment horizontal="right" vertical="center"/>
    </xf>
    <xf numFmtId="0" fontId="44" fillId="0" borderId="36" xfId="0" applyFont="1" applyFill="1" applyBorder="1" applyAlignment="1">
      <alignment horizontal="center" vertical="center"/>
    </xf>
    <xf numFmtId="164" fontId="44" fillId="0" borderId="36" xfId="0" applyNumberFormat="1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left" vertical="center"/>
    </xf>
    <xf numFmtId="167" fontId="44" fillId="0" borderId="36" xfId="0" applyNumberFormat="1" applyFont="1" applyBorder="1"/>
    <xf numFmtId="0" fontId="44" fillId="0" borderId="36" xfId="0" applyFont="1" applyBorder="1" applyAlignment="1">
      <alignment horizontal="center"/>
    </xf>
    <xf numFmtId="164" fontId="44" fillId="0" borderId="36" xfId="0" applyNumberFormat="1" applyFont="1" applyBorder="1" applyAlignment="1">
      <alignment horizontal="center"/>
    </xf>
    <xf numFmtId="164" fontId="18" fillId="0" borderId="0" xfId="0" applyNumberFormat="1" applyFont="1" applyFill="1"/>
    <xf numFmtId="0" fontId="12" fillId="0" borderId="0" xfId="0" applyFont="1"/>
    <xf numFmtId="0" fontId="0" fillId="0" borderId="70" xfId="0" applyFont="1" applyBorder="1" applyAlignment="1">
      <alignment horizontal="center" vertical="center"/>
    </xf>
    <xf numFmtId="167" fontId="0" fillId="0" borderId="70" xfId="0" applyNumberFormat="1" applyFont="1" applyBorder="1" applyAlignment="1">
      <alignment horizontal="right"/>
    </xf>
    <xf numFmtId="167" fontId="44" fillId="7" borderId="36" xfId="0" applyNumberFormat="1" applyFont="1" applyFill="1" applyBorder="1" applyAlignment="1"/>
    <xf numFmtId="164" fontId="0" fillId="0" borderId="18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indent="1"/>
    </xf>
    <xf numFmtId="167" fontId="0" fillId="0" borderId="55" xfId="0" applyNumberFormat="1" applyFill="1" applyBorder="1" applyAlignment="1"/>
    <xf numFmtId="164" fontId="0" fillId="0" borderId="57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 indent="2"/>
    </xf>
    <xf numFmtId="167" fontId="0" fillId="0" borderId="67" xfId="0" applyNumberFormat="1" applyFill="1" applyBorder="1"/>
    <xf numFmtId="0" fontId="30" fillId="5" borderId="36" xfId="0" applyFont="1" applyFill="1" applyBorder="1" applyAlignment="1">
      <alignment horizontal="center" vertical="center" wrapText="1"/>
    </xf>
    <xf numFmtId="167" fontId="30" fillId="5" borderId="36" xfId="0" applyNumberFormat="1" applyFont="1" applyFill="1" applyBorder="1" applyAlignment="1">
      <alignment horizontal="center" vertical="center" wrapText="1"/>
    </xf>
    <xf numFmtId="167" fontId="57" fillId="5" borderId="36" xfId="0" applyNumberFormat="1" applyFont="1" applyFill="1" applyBorder="1" applyAlignment="1">
      <alignment horizontal="left" vertical="center" wrapText="1" indent="1"/>
    </xf>
    <xf numFmtId="164" fontId="30" fillId="5" borderId="36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Border="1" applyAlignment="1">
      <alignment horizontal="left" indent="2"/>
    </xf>
    <xf numFmtId="164" fontId="45" fillId="5" borderId="4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vertical="center"/>
    </xf>
    <xf numFmtId="0" fontId="44" fillId="0" borderId="36" xfId="0" applyNumberFormat="1" applyFont="1" applyFill="1" applyBorder="1" applyAlignment="1">
      <alignment vertical="center"/>
    </xf>
    <xf numFmtId="167" fontId="44" fillId="0" borderId="36" xfId="0" applyNumberFormat="1" applyFont="1" applyFill="1" applyBorder="1" applyAlignment="1">
      <alignment horizontal="right" vertical="center"/>
    </xf>
    <xf numFmtId="167" fontId="38" fillId="0" borderId="36" xfId="0" applyNumberFormat="1" applyFont="1" applyFill="1" applyBorder="1" applyAlignment="1">
      <alignment horizontal="right" vertical="center"/>
    </xf>
    <xf numFmtId="0" fontId="38" fillId="0" borderId="36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0" fontId="38" fillId="7" borderId="36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9" fillId="2" borderId="41" xfId="0" applyFont="1" applyFill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164" fontId="38" fillId="0" borderId="56" xfId="0" applyNumberFormat="1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vertical="center"/>
    </xf>
    <xf numFmtId="0" fontId="38" fillId="0" borderId="56" xfId="0" applyFont="1" applyFill="1" applyBorder="1" applyAlignment="1">
      <alignment horizontal="left" vertical="center"/>
    </xf>
    <xf numFmtId="167" fontId="38" fillId="0" borderId="56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/>
    <xf numFmtId="164" fontId="19" fillId="2" borderId="41" xfId="0" applyNumberFormat="1" applyFont="1" applyFill="1" applyBorder="1" applyAlignment="1">
      <alignment horizontal="center" vertical="center"/>
    </xf>
    <xf numFmtId="164" fontId="38" fillId="0" borderId="36" xfId="0" applyNumberFormat="1" applyFont="1" applyFill="1" applyBorder="1" applyAlignment="1">
      <alignment horizontal="center"/>
    </xf>
    <xf numFmtId="164" fontId="38" fillId="0" borderId="56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 vertical="center"/>
    </xf>
    <xf numFmtId="167" fontId="0" fillId="0" borderId="36" xfId="0" applyNumberFormat="1" applyFill="1" applyBorder="1" applyAlignment="1">
      <alignment horizontal="right" vertical="center"/>
    </xf>
    <xf numFmtId="164" fontId="12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1" fontId="30" fillId="5" borderId="41" xfId="0" applyNumberFormat="1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64" fontId="35" fillId="5" borderId="41" xfId="0" applyNumberFormat="1" applyFont="1" applyFill="1" applyBorder="1" applyAlignment="1">
      <alignment horizontal="center" vertical="center" wrapText="1"/>
    </xf>
    <xf numFmtId="167" fontId="65" fillId="0" borderId="0" xfId="0" applyNumberFormat="1" applyFont="1" applyAlignment="1">
      <alignment horizontal="right" vertical="center"/>
    </xf>
    <xf numFmtId="0" fontId="35" fillId="5" borderId="2" xfId="0" applyFont="1" applyFill="1" applyBorder="1" applyAlignment="1">
      <alignment horizontal="center" vertical="center" wrapText="1"/>
    </xf>
    <xf numFmtId="167" fontId="36" fillId="0" borderId="36" xfId="0" applyNumberFormat="1" applyFont="1" applyBorder="1" applyAlignment="1">
      <alignment horizontal="center" vertical="center"/>
    </xf>
    <xf numFmtId="167" fontId="36" fillId="0" borderId="0" xfId="0" applyNumberFormat="1" applyFont="1" applyAlignment="1">
      <alignment horizontal="right"/>
    </xf>
    <xf numFmtId="0" fontId="64" fillId="0" borderId="36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left" indent="1"/>
    </xf>
    <xf numFmtId="0" fontId="66" fillId="0" borderId="0" xfId="0" applyFont="1" applyBorder="1"/>
    <xf numFmtId="0" fontId="0" fillId="0" borderId="0" xfId="0" applyBorder="1"/>
    <xf numFmtId="0" fontId="66" fillId="0" borderId="0" xfId="0" applyFont="1" applyBorder="1" applyAlignment="1"/>
    <xf numFmtId="0" fontId="29" fillId="0" borderId="0" xfId="0" applyFont="1" applyBorder="1"/>
    <xf numFmtId="0" fontId="44" fillId="0" borderId="0" xfId="0" applyFont="1"/>
    <xf numFmtId="0" fontId="38" fillId="0" borderId="0" xfId="0" applyFont="1" applyBorder="1"/>
    <xf numFmtId="0" fontId="38" fillId="0" borderId="0" xfId="0" applyFont="1" applyBorder="1" applyAlignment="1"/>
    <xf numFmtId="49" fontId="66" fillId="0" borderId="0" xfId="0" applyNumberFormat="1" applyFont="1" applyFill="1" applyBorder="1" applyAlignment="1">
      <alignment vertical="center"/>
    </xf>
    <xf numFmtId="0" fontId="28" fillId="0" borderId="0" xfId="0" applyFont="1" applyBorder="1"/>
    <xf numFmtId="0" fontId="12" fillId="0" borderId="0" xfId="0" applyFont="1" applyBorder="1"/>
    <xf numFmtId="0" fontId="6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12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164" fontId="0" fillId="0" borderId="0" xfId="0" applyNumberFormat="1" applyAlignment="1">
      <alignment horizontal="center"/>
    </xf>
    <xf numFmtId="0" fontId="29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5" borderId="36" xfId="0" applyFont="1" applyFill="1" applyBorder="1" applyAlignment="1">
      <alignment horizontal="center" vertical="center" wrapText="1"/>
    </xf>
    <xf numFmtId="0" fontId="29" fillId="0" borderId="0" xfId="0" applyFont="1"/>
    <xf numFmtId="164" fontId="12" fillId="0" borderId="0" xfId="0" applyNumberFormat="1" applyFont="1" applyAlignment="1">
      <alignment horizontal="center"/>
    </xf>
    <xf numFmtId="164" fontId="30" fillId="5" borderId="4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10" borderId="36" xfId="4" applyFont="1" applyFill="1" applyBorder="1" applyAlignment="1">
      <alignment horizontal="left" vertical="center"/>
    </xf>
    <xf numFmtId="43" fontId="18" fillId="10" borderId="36" xfId="4" applyFont="1" applyFill="1" applyBorder="1" applyAlignment="1">
      <alignment horizontal="left" vertical="center"/>
    </xf>
    <xf numFmtId="0" fontId="0" fillId="6" borderId="31" xfId="0" applyFill="1" applyBorder="1" applyAlignment="1">
      <alignment horizontal="left" indent="1"/>
    </xf>
    <xf numFmtId="167" fontId="0" fillId="6" borderId="32" xfId="0" applyNumberFormat="1" applyFill="1" applyBorder="1" applyAlignment="1">
      <alignment horizontal="right"/>
    </xf>
    <xf numFmtId="10" fontId="0" fillId="6" borderId="32" xfId="0" applyNumberFormat="1" applyFill="1" applyBorder="1" applyAlignment="1">
      <alignment horizontal="right"/>
    </xf>
    <xf numFmtId="0" fontId="0" fillId="6" borderId="33" xfId="0" applyFill="1" applyBorder="1" applyAlignment="1">
      <alignment horizontal="center"/>
    </xf>
    <xf numFmtId="0" fontId="0" fillId="6" borderId="53" xfId="0" applyFill="1" applyBorder="1" applyAlignment="1">
      <alignment horizontal="left" indent="1"/>
    </xf>
    <xf numFmtId="167" fontId="0" fillId="6" borderId="34" xfId="0" applyNumberFormat="1" applyFill="1" applyBorder="1" applyAlignment="1">
      <alignment horizontal="right"/>
    </xf>
    <xf numFmtId="10" fontId="0" fillId="6" borderId="34" xfId="0" applyNumberFormat="1" applyFill="1" applyBorder="1" applyAlignment="1">
      <alignment horizontal="right"/>
    </xf>
    <xf numFmtId="0" fontId="0" fillId="6" borderId="35" xfId="0" applyFill="1" applyBorder="1" applyAlignment="1">
      <alignment horizontal="center"/>
    </xf>
    <xf numFmtId="0" fontId="0" fillId="11" borderId="31" xfId="0" applyFill="1" applyBorder="1" applyAlignment="1">
      <alignment horizontal="left" indent="1"/>
    </xf>
    <xf numFmtId="167" fontId="0" fillId="11" borderId="32" xfId="0" applyNumberFormat="1" applyFill="1" applyBorder="1" applyAlignment="1">
      <alignment horizontal="right"/>
    </xf>
    <xf numFmtId="10" fontId="0" fillId="11" borderId="32" xfId="0" applyNumberFormat="1" applyFill="1" applyBorder="1" applyAlignment="1">
      <alignment horizontal="right"/>
    </xf>
    <xf numFmtId="0" fontId="0" fillId="11" borderId="33" xfId="0" applyFill="1" applyBorder="1" applyAlignment="1">
      <alignment horizontal="center"/>
    </xf>
    <xf numFmtId="0" fontId="0" fillId="11" borderId="53" xfId="0" applyFill="1" applyBorder="1" applyAlignment="1">
      <alignment horizontal="left" indent="1"/>
    </xf>
    <xf numFmtId="167" fontId="0" fillId="11" borderId="34" xfId="0" applyNumberFormat="1" applyFill="1" applyBorder="1" applyAlignment="1">
      <alignment horizontal="right"/>
    </xf>
    <xf numFmtId="10" fontId="0" fillId="11" borderId="34" xfId="0" applyNumberFormat="1" applyFill="1" applyBorder="1" applyAlignment="1">
      <alignment horizontal="right"/>
    </xf>
    <xf numFmtId="0" fontId="0" fillId="11" borderId="35" xfId="0" applyFill="1" applyBorder="1" applyAlignment="1">
      <alignment horizontal="center"/>
    </xf>
    <xf numFmtId="0" fontId="0" fillId="12" borderId="53" xfId="0" applyFill="1" applyBorder="1" applyAlignment="1">
      <alignment horizontal="left" indent="1"/>
    </xf>
    <xf numFmtId="167" fontId="0" fillId="12" borderId="34" xfId="0" applyNumberFormat="1" applyFill="1" applyBorder="1" applyAlignment="1">
      <alignment horizontal="right"/>
    </xf>
    <xf numFmtId="10" fontId="0" fillId="12" borderId="34" xfId="0" applyNumberFormat="1" applyFill="1" applyBorder="1" applyAlignment="1">
      <alignment horizontal="right"/>
    </xf>
    <xf numFmtId="0" fontId="0" fillId="12" borderId="35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33" fillId="7" borderId="36" xfId="0" applyNumberFormat="1" applyFont="1" applyFill="1" applyBorder="1" applyAlignment="1">
      <alignment horizontal="right" vertical="center" indent="1"/>
    </xf>
    <xf numFmtId="165" fontId="40" fillId="7" borderId="36" xfId="0" applyNumberFormat="1" applyFont="1" applyFill="1" applyBorder="1" applyAlignment="1">
      <alignment horizontal="right" vertical="center" indent="1"/>
    </xf>
    <xf numFmtId="1" fontId="33" fillId="7" borderId="36" xfId="0" applyNumberFormat="1" applyFont="1" applyFill="1" applyBorder="1" applyAlignment="1">
      <alignment horizontal="right" vertical="center" indent="1"/>
    </xf>
    <xf numFmtId="165" fontId="45" fillId="6" borderId="55" xfId="0" applyNumberFormat="1" applyFont="1" applyFill="1" applyBorder="1" applyAlignment="1">
      <alignment vertical="center"/>
    </xf>
    <xf numFmtId="165" fontId="45" fillId="6" borderId="18" xfId="0" applyNumberFormat="1" applyFont="1" applyFill="1" applyBorder="1" applyAlignment="1">
      <alignment vertical="center"/>
    </xf>
    <xf numFmtId="0" fontId="47" fillId="7" borderId="64" xfId="5" applyFill="1" applyBorder="1" applyAlignment="1" applyProtection="1">
      <alignment horizontal="center"/>
    </xf>
    <xf numFmtId="0" fontId="47" fillId="7" borderId="1" xfId="5" applyFill="1" applyBorder="1" applyAlignment="1" applyProtection="1">
      <alignment horizontal="center"/>
    </xf>
    <xf numFmtId="0" fontId="48" fillId="6" borderId="36" xfId="0" applyFont="1" applyFill="1" applyBorder="1" applyAlignment="1">
      <alignment horizontal="center" vertical="center"/>
    </xf>
    <xf numFmtId="165" fontId="46" fillId="7" borderId="36" xfId="0" applyNumberFormat="1" applyFont="1" applyFill="1" applyBorder="1" applyAlignment="1">
      <alignment horizontal="right" vertical="center" indent="1"/>
    </xf>
    <xf numFmtId="0" fontId="48" fillId="6" borderId="55" xfId="0" applyFont="1" applyFill="1" applyBorder="1" applyAlignment="1">
      <alignment horizontal="center" vertical="center"/>
    </xf>
    <xf numFmtId="0" fontId="48" fillId="6" borderId="62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47" fillId="7" borderId="64" xfId="5" applyFill="1" applyBorder="1" applyAlignment="1" applyProtection="1">
      <alignment horizontal="center" vertical="center"/>
    </xf>
    <xf numFmtId="0" fontId="47" fillId="7" borderId="1" xfId="5" applyFill="1" applyBorder="1" applyAlignment="1" applyProtection="1">
      <alignment horizontal="center" vertical="center"/>
    </xf>
    <xf numFmtId="0" fontId="50" fillId="6" borderId="58" xfId="0" applyFont="1" applyFill="1" applyBorder="1" applyAlignment="1">
      <alignment horizontal="center" vertical="center"/>
    </xf>
    <xf numFmtId="0" fontId="50" fillId="6" borderId="57" xfId="0" applyFont="1" applyFill="1" applyBorder="1" applyAlignment="1">
      <alignment horizontal="center" vertical="center"/>
    </xf>
    <xf numFmtId="0" fontId="54" fillId="7" borderId="58" xfId="5" applyFont="1" applyFill="1" applyBorder="1" applyAlignment="1" applyProtection="1">
      <alignment horizontal="center" vertical="center"/>
    </xf>
    <xf numFmtId="0" fontId="54" fillId="7" borderId="57" xfId="5" applyFont="1" applyFill="1" applyBorder="1" applyAlignment="1" applyProtection="1">
      <alignment horizontal="center" vertical="center"/>
    </xf>
    <xf numFmtId="0" fontId="54" fillId="7" borderId="64" xfId="5" applyFont="1" applyFill="1" applyBorder="1" applyAlignment="1" applyProtection="1">
      <alignment horizontal="center" vertical="center"/>
    </xf>
    <xf numFmtId="0" fontId="54" fillId="7" borderId="1" xfId="5" applyFont="1" applyFill="1" applyBorder="1" applyAlignment="1" applyProtection="1">
      <alignment horizontal="center" vertical="center"/>
    </xf>
    <xf numFmtId="0" fontId="11" fillId="7" borderId="58" xfId="0" applyFont="1" applyFill="1" applyBorder="1" applyAlignment="1">
      <alignment horizontal="center"/>
    </xf>
    <xf numFmtId="0" fontId="11" fillId="7" borderId="67" xfId="0" applyFont="1" applyFill="1" applyBorder="1" applyAlignment="1">
      <alignment horizontal="center"/>
    </xf>
    <xf numFmtId="0" fontId="11" fillId="7" borderId="57" xfId="0" applyFont="1" applyFill="1" applyBorder="1" applyAlignment="1">
      <alignment horizontal="center"/>
    </xf>
    <xf numFmtId="0" fontId="11" fillId="7" borderId="45" xfId="0" applyFont="1" applyFill="1" applyBorder="1" applyAlignment="1">
      <alignment horizontal="center"/>
    </xf>
    <xf numFmtId="0" fontId="11" fillId="7" borderId="54" xfId="0" applyFont="1" applyFill="1" applyBorder="1" applyAlignment="1">
      <alignment horizontal="center"/>
    </xf>
    <xf numFmtId="0" fontId="11" fillId="7" borderId="46" xfId="0" applyFont="1" applyFill="1" applyBorder="1" applyAlignment="1">
      <alignment horizontal="center"/>
    </xf>
    <xf numFmtId="0" fontId="33" fillId="8" borderId="67" xfId="0" applyFont="1" applyFill="1" applyBorder="1" applyAlignment="1">
      <alignment horizontal="center"/>
    </xf>
    <xf numFmtId="0" fontId="33" fillId="8" borderId="0" xfId="0" applyFont="1" applyFill="1" applyAlignment="1">
      <alignment horizontal="center"/>
    </xf>
    <xf numFmtId="165" fontId="45" fillId="6" borderId="36" xfId="0" applyNumberFormat="1" applyFont="1" applyFill="1" applyBorder="1" applyAlignment="1">
      <alignment horizontal="right" vertical="center" indent="1"/>
    </xf>
    <xf numFmtId="0" fontId="33" fillId="7" borderId="45" xfId="0" applyFont="1" applyFill="1" applyBorder="1" applyAlignment="1">
      <alignment horizontal="center"/>
    </xf>
    <xf numFmtId="0" fontId="33" fillId="7" borderId="46" xfId="0" applyFont="1" applyFill="1" applyBorder="1" applyAlignment="1">
      <alignment horizontal="center"/>
    </xf>
    <xf numFmtId="0" fontId="9" fillId="0" borderId="0" xfId="0" applyFont="1" applyAlignment="1">
      <alignment horizontal="left" vertical="center" indent="6"/>
    </xf>
    <xf numFmtId="0" fontId="38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left" vertical="center" indent="1"/>
      <protection locked="0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24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9" fillId="4" borderId="20" xfId="0" applyFont="1" applyFill="1" applyBorder="1" applyAlignment="1">
      <alignment horizontal="center" vertical="center"/>
    </xf>
    <xf numFmtId="165" fontId="22" fillId="0" borderId="48" xfId="0" applyNumberFormat="1" applyFont="1" applyBorder="1" applyAlignment="1">
      <alignment horizontal="right" vertical="center" indent="1"/>
    </xf>
    <xf numFmtId="165" fontId="22" fillId="0" borderId="36" xfId="0" applyNumberFormat="1" applyFont="1" applyBorder="1" applyAlignment="1">
      <alignment horizontal="right" vertical="center" indent="1"/>
    </xf>
    <xf numFmtId="166" fontId="22" fillId="0" borderId="36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indent="6"/>
    </xf>
    <xf numFmtId="9" fontId="16" fillId="0" borderId="36" xfId="2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 applyProtection="1">
      <alignment horizontal="left" vertical="center" indent="1"/>
      <protection locked="0"/>
    </xf>
    <xf numFmtId="0" fontId="12" fillId="0" borderId="4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1" fontId="29" fillId="0" borderId="11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28" fillId="0" borderId="0" xfId="2" applyNumberFormat="1" applyFont="1" applyBorder="1" applyAlignment="1">
      <alignment horizontal="center" vertical="center"/>
    </xf>
    <xf numFmtId="49" fontId="29" fillId="0" borderId="0" xfId="2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38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right" vertical="center" indent="1"/>
    </xf>
    <xf numFmtId="0" fontId="25" fillId="0" borderId="19" xfId="0" applyFont="1" applyBorder="1" applyAlignment="1">
      <alignment horizontal="right" vertical="center" indent="1"/>
    </xf>
    <xf numFmtId="0" fontId="1" fillId="4" borderId="12" xfId="0" applyFont="1" applyFill="1" applyBorder="1" applyAlignment="1">
      <alignment horizontal="right" vertical="center" indent="1"/>
    </xf>
    <xf numFmtId="0" fontId="1" fillId="4" borderId="14" xfId="0" applyFont="1" applyFill="1" applyBorder="1" applyAlignment="1">
      <alignment horizontal="right" vertical="center" indent="1"/>
    </xf>
    <xf numFmtId="0" fontId="23" fillId="0" borderId="21" xfId="0" applyFont="1" applyBorder="1" applyAlignment="1">
      <alignment horizontal="right" vertical="center" indent="1"/>
    </xf>
    <xf numFmtId="0" fontId="23" fillId="0" borderId="18" xfId="0" applyFont="1" applyBorder="1" applyAlignment="1">
      <alignment horizontal="right" vertical="center" indent="1"/>
    </xf>
    <xf numFmtId="0" fontId="1" fillId="0" borderId="21" xfId="0" applyFont="1" applyBorder="1" applyAlignment="1">
      <alignment horizontal="right" vertical="center" indent="1"/>
    </xf>
    <xf numFmtId="0" fontId="1" fillId="0" borderId="18" xfId="0" applyFont="1" applyBorder="1" applyAlignment="1">
      <alignment horizontal="right" vertical="center" indent="1"/>
    </xf>
    <xf numFmtId="165" fontId="22" fillId="0" borderId="47" xfId="0" applyNumberFormat="1" applyFont="1" applyBorder="1" applyAlignment="1">
      <alignment horizontal="right" vertical="center" indent="1"/>
    </xf>
    <xf numFmtId="165" fontId="22" fillId="0" borderId="41" xfId="0" applyNumberFormat="1" applyFont="1" applyBorder="1" applyAlignment="1">
      <alignment horizontal="right" vertical="center" indent="1"/>
    </xf>
    <xf numFmtId="166" fontId="16" fillId="0" borderId="41" xfId="2" applyNumberFormat="1" applyFont="1" applyFill="1" applyBorder="1" applyAlignment="1">
      <alignment horizontal="center" vertical="center"/>
    </xf>
    <xf numFmtId="165" fontId="22" fillId="0" borderId="5" xfId="0" applyNumberFormat="1" applyFont="1" applyBorder="1" applyAlignment="1">
      <alignment horizontal="right" vertical="center" indent="1"/>
    </xf>
    <xf numFmtId="165" fontId="22" fillId="0" borderId="6" xfId="0" applyNumberFormat="1" applyFont="1" applyBorder="1" applyAlignment="1">
      <alignment horizontal="right" vertical="center" indent="1"/>
    </xf>
    <xf numFmtId="9" fontId="16" fillId="0" borderId="6" xfId="2" applyFont="1" applyBorder="1" applyAlignment="1">
      <alignment horizontal="center" vertical="center"/>
    </xf>
    <xf numFmtId="165" fontId="12" fillId="0" borderId="51" xfId="0" applyNumberFormat="1" applyFont="1" applyBorder="1" applyAlignment="1">
      <alignment horizontal="right" vertical="center" indent="1"/>
    </xf>
    <xf numFmtId="165" fontId="12" fillId="0" borderId="46" xfId="0" applyNumberFormat="1" applyFont="1" applyBorder="1" applyAlignment="1">
      <alignment horizontal="right" vertical="center" indent="1"/>
    </xf>
    <xf numFmtId="0" fontId="12" fillId="0" borderId="5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14" fontId="58" fillId="0" borderId="54" xfId="0" applyNumberFormat="1" applyFont="1" applyBorder="1" applyAlignment="1">
      <alignment horizontal="center" vertical="center"/>
    </xf>
    <xf numFmtId="0" fontId="61" fillId="0" borderId="0" xfId="5" applyNumberFormat="1" applyFont="1" applyAlignment="1" applyProtection="1">
      <alignment horizontal="center" vertical="center"/>
    </xf>
    <xf numFmtId="0" fontId="58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6" fillId="0" borderId="0" xfId="0" applyFont="1" applyBorder="1" applyAlignment="1">
      <alignment horizontal="right" vertical="center" indent="1"/>
    </xf>
    <xf numFmtId="14" fontId="66" fillId="0" borderId="0" xfId="0" applyNumberFormat="1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164" fontId="66" fillId="0" borderId="36" xfId="0" applyNumberFormat="1" applyFont="1" applyFill="1" applyBorder="1" applyAlignment="1">
      <alignment horizontal="center" vertical="center"/>
    </xf>
    <xf numFmtId="49" fontId="28" fillId="9" borderId="55" xfId="0" applyNumberFormat="1" applyFont="1" applyFill="1" applyBorder="1" applyAlignment="1">
      <alignment horizontal="center" vertical="center"/>
    </xf>
    <xf numFmtId="49" fontId="28" fillId="9" borderId="62" xfId="0" applyNumberFormat="1" applyFont="1" applyFill="1" applyBorder="1" applyAlignment="1">
      <alignment horizontal="center" vertical="center"/>
    </xf>
    <xf numFmtId="49" fontId="28" fillId="9" borderId="18" xfId="0" applyNumberFormat="1" applyFont="1" applyFill="1" applyBorder="1" applyAlignment="1">
      <alignment horizontal="center" vertical="center"/>
    </xf>
    <xf numFmtId="49" fontId="66" fillId="0" borderId="45" xfId="0" applyNumberFormat="1" applyFont="1" applyBorder="1" applyAlignment="1">
      <alignment horizontal="center" vertical="center"/>
    </xf>
    <xf numFmtId="49" fontId="66" fillId="0" borderId="54" xfId="0" applyNumberFormat="1" applyFont="1" applyBorder="1" applyAlignment="1">
      <alignment horizontal="center" vertical="center"/>
    </xf>
    <xf numFmtId="49" fontId="66" fillId="0" borderId="46" xfId="0" applyNumberFormat="1" applyFont="1" applyBorder="1" applyAlignment="1">
      <alignment horizontal="center" vertical="center"/>
    </xf>
    <xf numFmtId="164" fontId="66" fillId="0" borderId="45" xfId="0" applyNumberFormat="1" applyFont="1" applyBorder="1" applyAlignment="1">
      <alignment horizontal="center" vertical="center"/>
    </xf>
    <xf numFmtId="164" fontId="66" fillId="0" borderId="54" xfId="0" applyNumberFormat="1" applyFont="1" applyBorder="1" applyAlignment="1">
      <alignment horizontal="center" vertical="center"/>
    </xf>
    <xf numFmtId="164" fontId="66" fillId="0" borderId="46" xfId="0" applyNumberFormat="1" applyFont="1" applyBorder="1" applyAlignment="1">
      <alignment horizontal="center" vertical="center"/>
    </xf>
    <xf numFmtId="49" fontId="66" fillId="0" borderId="36" xfId="0" applyNumberFormat="1" applyFont="1" applyBorder="1" applyAlignment="1">
      <alignment horizontal="center" vertical="center"/>
    </xf>
    <xf numFmtId="165" fontId="66" fillId="0" borderId="36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168" fontId="66" fillId="0" borderId="0" xfId="0" applyNumberFormat="1" applyFont="1" applyBorder="1" applyAlignment="1">
      <alignment horizontal="left" vertical="center" indent="2"/>
    </xf>
    <xf numFmtId="0" fontId="66" fillId="0" borderId="0" xfId="0" applyFont="1" applyBorder="1" applyAlignment="1">
      <alignment horizontal="left" vertical="center" indent="2"/>
    </xf>
    <xf numFmtId="167" fontId="38" fillId="0" borderId="36" xfId="0" applyNumberFormat="1" applyFont="1" applyFill="1" applyBorder="1" applyAlignment="1"/>
    <xf numFmtId="167" fontId="44" fillId="0" borderId="36" xfId="0" applyNumberFormat="1" applyFont="1" applyFill="1" applyBorder="1"/>
    <xf numFmtId="165" fontId="19" fillId="13" borderId="36" xfId="0" applyNumberFormat="1" applyFont="1" applyFill="1" applyBorder="1" applyAlignment="1">
      <alignment horizontal="center" vertical="center"/>
    </xf>
    <xf numFmtId="0" fontId="0" fillId="0" borderId="36" xfId="0" applyBorder="1"/>
    <xf numFmtId="0" fontId="0" fillId="0" borderId="55" xfId="0" applyNumberForma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167" fontId="0" fillId="0" borderId="55" xfId="0" applyNumberFormat="1" applyBorder="1" applyAlignment="1">
      <alignment horizontal="right"/>
    </xf>
    <xf numFmtId="164" fontId="0" fillId="0" borderId="18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right"/>
    </xf>
    <xf numFmtId="0" fontId="15" fillId="0" borderId="36" xfId="0" applyNumberFormat="1" applyFont="1" applyBorder="1" applyAlignment="1">
      <alignment horizontal="left" indent="3"/>
    </xf>
  </cellXfs>
  <cellStyles count="6">
    <cellStyle name="Accent5" xfId="1" builtinId="45"/>
    <cellStyle name="Lien hypertexte" xfId="5" builtinId="8"/>
    <cellStyle name="Milliers" xfId="4" builtinId="3"/>
    <cellStyle name="Monétaire" xfId="3" builtinId="4"/>
    <cellStyle name="Normal" xfId="0" builtinId="0"/>
    <cellStyle name="Pourcentage" xfId="2" builtinId="5"/>
  </cellStyles>
  <dxfs count="234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9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8" formatCode="000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justifyLastLine="0" shrinkToFit="0" mergeCell="0" readingOrder="0"/>
    </dxf>
    <dxf>
      <alignment horizontal="center" readingOrder="0"/>
    </dxf>
    <dxf>
      <font>
        <color rgb="FFC00000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_€"/>
    </dxf>
    <dxf>
      <numFmt numFmtId="167" formatCode="#,##0.00\ _€"/>
    </dxf>
    <dxf>
      <numFmt numFmtId="167" formatCode="#,##0.00\ _€"/>
    </dxf>
    <dxf>
      <alignment horizontal="center" vertical="bottom" textRotation="0" wrapText="0" indent="0" relativeIndent="0" justifyLastLine="0" shrinkToFit="0" readingOrder="0"/>
      <border diagonalUp="0" diagonalDown="0">
        <left style="thin">
          <color rgb="FF003300"/>
        </left>
        <right/>
        <top style="thin">
          <color rgb="FF003300"/>
        </top>
        <bottom style="thin">
          <color rgb="FF003300"/>
        </bottom>
      </border>
    </dxf>
    <dxf>
      <numFmt numFmtId="14" formatCode="0.00%"/>
      <alignment horizontal="right" vertical="bottom" textRotation="0" wrapText="0" indent="0" relativeIndent="0" justifyLastLine="0" shrinkToFit="0" readingOrder="0"/>
      <border diagonalUp="0" diagonalDown="0"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</border>
    </dxf>
    <dxf>
      <numFmt numFmtId="167" formatCode="#,##0.00\ _€"/>
      <alignment horizontal="right" vertical="bottom" textRotation="0" wrapText="0" indent="0" relativeIndent="0" justifyLastLine="0" shrinkToFit="0" readingOrder="0"/>
      <border diagonalUp="0" diagonalDown="0"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alignment horizontal="left" vertical="bottom" textRotation="0" wrapText="0" indent="0" relativeIndent="0" justifyLastLine="0" shrinkToFit="0" readingOrder="0"/>
      <border diagonalUp="0" diagonalDown="0">
        <left/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border>
        <top style="thin">
          <color rgb="FF003300"/>
        </top>
        <vertical/>
        <horizontal/>
      </border>
    </dxf>
    <dxf>
      <border diagonalUp="0" diagonalDown="0"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</border>
    </dxf>
    <dxf>
      <border>
        <bottom style="thin">
          <color rgb="FF003300"/>
        </bottom>
        <vertical/>
        <horizontal/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rgb="FF003300"/>
        </left>
        <right style="thin">
          <color rgb="FF003300"/>
        </right>
        <top/>
        <bottom/>
      </border>
    </dxf>
    <dxf>
      <numFmt numFmtId="167" formatCode="#,##0.00\ _€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relativeIndent="1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dd/mm/yy;@"/>
      <alignment horizont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 val="0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alignment horizontal="center" vertical="center" textRotation="0" wrapText="0" indent="0" relativeIndent="255" justifyLastLine="0" shrinkToFit="0" mergeCell="0" readingOrder="0"/>
    </dxf>
    <dxf>
      <numFmt numFmtId="167" formatCode="#,##0.00\ _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CFF66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CFF66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CFF66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CFF66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CFF66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CFF66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CCFF66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CCFF66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\ _€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;@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dd/mm/yy;@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dd/mm/yy;@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dd/mm/yy;@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dd/mm/yy;@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dd/mm/yy;@"/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left" vertical="bottom" textRotation="0" wrapText="0" indent="1" relativeIndent="1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color rgb="FFFF0000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7" formatCode="#,##0.00\ _€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0\ _€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#,##0.00\ _€"/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6" tint="-0.24994659260841701"/>
        </patternFill>
      </fill>
    </dxf>
    <dxf>
      <font>
        <b/>
        <i val="0"/>
      </font>
      <fill>
        <patternFill>
          <bgColor theme="6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6" tint="-0.24994659260841701"/>
        </patternFill>
      </fill>
    </dxf>
    <dxf>
      <font>
        <b/>
        <i val="0"/>
      </font>
      <fill>
        <patternFill>
          <bgColor theme="6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6" tint="-0.24994659260841701"/>
        </patternFill>
      </fill>
    </dxf>
    <dxf>
      <font>
        <b/>
        <i val="0"/>
      </font>
      <fill>
        <patternFill>
          <bgColor theme="6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Tableau croisé dynamique VIVI" table="0" count="3">
      <tableStyleElement type="wholeTable" dxfId="233"/>
      <tableStyleElement type="headerRow" dxfId="232"/>
      <tableStyleElement type="totalRow" dxfId="231"/>
    </tableStyle>
    <tableStyle name="Tableau croisé dynamique VIVI 2" table="0" count="3">
      <tableStyleElement type="wholeTable" dxfId="230"/>
      <tableStyleElement type="headerRow" dxfId="229"/>
      <tableStyleElement type="totalRow" dxfId="228"/>
    </tableStyle>
    <tableStyle name="Tableau croisé dynamique VIVI 3" table="0" count="3">
      <tableStyleElement type="wholeTable" dxfId="227"/>
      <tableStyleElement type="headerRow" dxfId="226"/>
      <tableStyleElement type="totalRow" dxfId="225"/>
    </tableStyle>
  </tableStyles>
  <colors>
    <mruColors>
      <color rgb="FFCCFF66"/>
      <color rgb="FFCCCC00"/>
      <color rgb="FFBDF474"/>
      <color rgb="FFC1F57B"/>
      <color rgb="FF006600"/>
      <color rgb="FF96969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Total VENTE / mois</a:t>
            </a:r>
          </a:p>
        </c:rich>
      </c:tx>
      <c:layout>
        <c:manualLayout>
          <c:xMode val="edge"/>
          <c:yMode val="edge"/>
          <c:x val="0.40108849126145679"/>
          <c:y val="3.750000000000000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'Tableau de bord'!$I$4</c:f>
              <c:strCache>
                <c:ptCount val="1"/>
                <c:pt idx="0">
                  <c:v>Total / mois</c:v>
                </c:pt>
              </c:strCache>
            </c:strRef>
          </c:tx>
          <c:spPr>
            <a:ln>
              <a:gradFill>
                <a:gsLst>
                  <a:gs pos="7000">
                    <a:srgbClr val="006600"/>
                  </a:gs>
                  <a:gs pos="100000">
                    <a:srgbClr val="C00000"/>
                  </a:gs>
                  <a:gs pos="50000">
                    <a:srgbClr val="FFFF00"/>
                  </a:gs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strRef>
              <c:f>'Tableau de bord'!$J$3:$U$3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bord'!$J$4:$U$4</c:f>
              <c:numCache>
                <c:formatCode>#,##0.00\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'Tableau de bord'!#REF!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'Tableau de bord'!$J$3:$U$3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9300864"/>
        <c:axId val="139302400"/>
      </c:lineChart>
      <c:catAx>
        <c:axId val="1393008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9302400"/>
        <c:crosses val="autoZero"/>
        <c:auto val="1"/>
        <c:lblAlgn val="ctr"/>
        <c:lblOffset val="100"/>
      </c:catAx>
      <c:valAx>
        <c:axId val="139302400"/>
        <c:scaling>
          <c:orientation val="minMax"/>
        </c:scaling>
        <c:axPos val="l"/>
        <c:majorGridlines/>
        <c:numFmt formatCode="#,##0.00\ _€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9300864"/>
        <c:crosses val="autoZero"/>
        <c:crossBetween val="between"/>
      </c:valAx>
    </c:plotArea>
    <c:plotVisOnly val="1"/>
  </c:chart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Total ACHAT / mois</a:t>
            </a:r>
          </a:p>
        </c:rich>
      </c:tx>
      <c:layout>
        <c:manualLayout>
          <c:xMode val="edge"/>
          <c:yMode val="edge"/>
          <c:x val="0.43961855841091846"/>
          <c:y val="3.041825095057034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'Tableau de bord'!$I$18</c:f>
              <c:strCache>
                <c:ptCount val="1"/>
                <c:pt idx="0">
                  <c:v>Total / mois</c:v>
                </c:pt>
              </c:strCache>
            </c:strRef>
          </c:tx>
          <c:spPr>
            <a:ln>
              <a:gradFill>
                <a:gsLst>
                  <a:gs pos="50000">
                    <a:srgbClr val="FFFF00"/>
                  </a:gs>
                  <a:gs pos="100000">
                    <a:srgbClr val="006600"/>
                  </a:gs>
                  <a:gs pos="15000">
                    <a:srgbClr val="FF0000"/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strRef>
              <c:f>'Tableau de bord'!$J$17:$U$17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bord'!$J$18:$U$18</c:f>
              <c:numCache>
                <c:formatCode>#,##0.00\ _€</c:formatCode>
                <c:ptCount val="12"/>
                <c:pt idx="0">
                  <c:v>29.9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37495680"/>
        <c:axId val="137497216"/>
      </c:lineChart>
      <c:catAx>
        <c:axId val="13749568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7497216"/>
        <c:crosses val="autoZero"/>
        <c:auto val="1"/>
        <c:lblAlgn val="ctr"/>
        <c:lblOffset val="100"/>
      </c:catAx>
      <c:valAx>
        <c:axId val="137497216"/>
        <c:scaling>
          <c:orientation val="minMax"/>
        </c:scaling>
        <c:axPos val="l"/>
        <c:majorGridlines/>
        <c:numFmt formatCode="#,##0.00\ _€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7495680"/>
        <c:crosses val="autoZero"/>
        <c:crossBetween val="between"/>
      </c:valAx>
    </c:plotArea>
    <c:plotVisOnly val="1"/>
  </c:chart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285751</xdr:colOff>
      <xdr:row>5</xdr:row>
      <xdr:rowOff>41275</xdr:rowOff>
    </xdr:from>
    <xdr:to>
      <xdr:col>20</xdr:col>
      <xdr:colOff>730250</xdr:colOff>
      <xdr:row>16</xdr:row>
      <xdr:rowOff>127000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266701</xdr:colOff>
      <xdr:row>20</xdr:row>
      <xdr:rowOff>133350</xdr:rowOff>
    </xdr:from>
    <xdr:to>
      <xdr:col>20</xdr:col>
      <xdr:colOff>714376</xdr:colOff>
      <xdr:row>33</xdr:row>
      <xdr:rowOff>104775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e/AppData/Roaming/Microsoft/Excel/COMPTABILITE/COMPTABILITE/COMPTABILIT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"/>
      <sheetName val="VE"/>
      <sheetName val="OD"/>
      <sheetName val="BILAN AC"/>
      <sheetName val="BILAN VE"/>
      <sheetName val="BILAN OD"/>
      <sheetName val="CAISSE"/>
      <sheetName val="BANQUE"/>
      <sheetName val="Compte Résultat"/>
      <sheetName val="SYNTHESE"/>
      <sheetName val="TVA"/>
      <sheetName val="F &amp; C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F2" t="str">
            <v>ARLEBLANC CAMPING</v>
          </cell>
        </row>
        <row r="3">
          <cell r="F3" t="str">
            <v>ARLEBLANC RESTAURANT</v>
          </cell>
        </row>
        <row r="4">
          <cell r="F4" t="str">
            <v>AUDIGIER</v>
          </cell>
        </row>
        <row r="5">
          <cell r="F5" t="str">
            <v>BAR DES SPORTS</v>
          </cell>
        </row>
        <row r="6">
          <cell r="F6" t="str">
            <v>BOUCHER CEDRIC</v>
          </cell>
        </row>
        <row r="7">
          <cell r="F7" t="str">
            <v>CAVEAU LA CEVENOLE</v>
          </cell>
        </row>
        <row r="8">
          <cell r="F8" t="str">
            <v>CHAPUIS FREDERIC</v>
          </cell>
        </row>
        <row r="9">
          <cell r="F9" t="str">
            <v>COMITE DE SANILHAC</v>
          </cell>
        </row>
        <row r="10">
          <cell r="F10" t="str">
            <v>DI PIERRO</v>
          </cell>
        </row>
        <row r="11">
          <cell r="F11" t="str">
            <v>ESTEVENON</v>
          </cell>
        </row>
        <row r="12">
          <cell r="F12" t="str">
            <v>ETIENNE ALBERIC</v>
          </cell>
        </row>
        <row r="13">
          <cell r="F13" t="str">
            <v>FLOURY</v>
          </cell>
        </row>
        <row r="14">
          <cell r="F14" t="str">
            <v>GROS CYRIL</v>
          </cell>
        </row>
        <row r="15">
          <cell r="F15" t="str">
            <v>LA BASTIDE</v>
          </cell>
        </row>
        <row r="16">
          <cell r="F16" t="str">
            <v>LA CACOLA</v>
          </cell>
        </row>
        <row r="17">
          <cell r="F17" t="str">
            <v>LA CALECHE</v>
          </cell>
        </row>
        <row r="18">
          <cell r="F18" t="str">
            <v>LA CAMELIA</v>
          </cell>
        </row>
        <row r="19">
          <cell r="F19" t="str">
            <v>LA CHAROLAISE</v>
          </cell>
        </row>
        <row r="20">
          <cell r="F20" t="str">
            <v>LA CLE DES CHAMPS</v>
          </cell>
        </row>
        <row r="21">
          <cell r="F21" t="str">
            <v>LE LOUPIOT</v>
          </cell>
        </row>
        <row r="22">
          <cell r="F22" t="str">
            <v>LES CHATAIGNIERS</v>
          </cell>
        </row>
        <row r="23">
          <cell r="F23" t="str">
            <v>MAIRIE SANILHAC</v>
          </cell>
        </row>
        <row r="24">
          <cell r="F24" t="str">
            <v>MOULIN</v>
          </cell>
        </row>
        <row r="25">
          <cell r="F25" t="str">
            <v>ROUX</v>
          </cell>
        </row>
        <row r="26">
          <cell r="F26" t="str">
            <v>SAINT ETIENNE MARC</v>
          </cell>
        </row>
        <row r="27">
          <cell r="F27" t="str">
            <v>SOU ECOLE SANILHAC</v>
          </cell>
        </row>
        <row r="28">
          <cell r="F28" t="str">
            <v>SOU ECOLE VERNON</v>
          </cell>
        </row>
        <row r="29">
          <cell r="F29" t="str">
            <v>VENTE AU DETAIL</v>
          </cell>
        </row>
      </sheetData>
      <sheetData sheetId="12"/>
      <sheetData sheetId="1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Vivi 07" refreshedDate="43444.88855358796" createdVersion="3" refreshedVersion="3" minRefreshableVersion="3" recordCount="4">
  <cacheSource type="worksheet">
    <worksheetSource name="Tableau7[#Tout]"/>
  </cacheSource>
  <cacheFields count="49">
    <cacheField name="FACTURE _x000a_NUMERO" numFmtId="0">
      <sharedItems count="211">
        <s v="2018/VE/00001"/>
        <s v="2018/VE/00002"/>
        <s v="2018/VE/00003"/>
        <s v="2018/VE/00004"/>
        <s v="2018/VE/00054" u="1"/>
        <s v="2018/VE/00043" u="1"/>
        <s v="2018/VE/00159" u="1"/>
        <s v="2018/VE/00190" u="1"/>
        <s v="2018/VE/00032" u="1"/>
        <s v="2018/VE/00148" u="1"/>
        <s v="2018/VE/00021" u="1"/>
        <s v="2018/VE/00093" u="1"/>
        <s v="2018/VE/00137" u="1"/>
        <s v="2018/VE/00010" u="1"/>
        <s v="2018/VE/00082" u="1"/>
        <s v="2018/VE/00126" u="1"/>
        <s v="2018/VE/00198" u="1"/>
        <s v="2018/VE/00201" u="1"/>
        <s v="2018/VE/00071" u="1"/>
        <s v="2018/VE/00115" u="1"/>
        <s v="2018/VE/00187" u="1"/>
        <s v="2018/VE/00029" u="1"/>
        <s v="2018/VE/00060" u="1"/>
        <s v="2018/VE/00104" u="1"/>
        <s v="2018/VE/00176" u="1"/>
        <s v="2018/VE/00018" u="1"/>
        <s v="2018/VE/00165" u="1"/>
        <s v="2018/VE/00209" u="1"/>
        <s v="2018/VE/00007" u="1"/>
        <s v="2018/VE/00079" u="1"/>
        <s v="2018/VE/00154" u="1"/>
        <s v="2018/VE/00068" u="1"/>
        <s v="2018/VE/00143" u="1"/>
        <s v="2018/VE/00057" u="1"/>
        <s v="2018/VE/00132" u="1"/>
        <s v="2018/VE/00046" u="1"/>
        <s v="2018/VE/00121" u="1"/>
        <s v="2018/VE/00193" u="1"/>
        <s v="2018/VE/00035" u="1"/>
        <s v="2018/VE/00110" u="1"/>
        <s v="2018/VE/00182" u="1"/>
        <s v="2018/VE/00024" u="1"/>
        <s v="2018/VE/00096" u="1"/>
        <s v="2018/VE/00171" u="1"/>
        <s v="2018/VE/00013" u="1"/>
        <s v="2018/VE/00085" u="1"/>
        <s v="2018/VE/00129" u="1"/>
        <s v="2018/VE/00160" u="1"/>
        <s v="2018/VE/00204" u="1"/>
        <s v="2018/VE/00074" u="1"/>
        <s v="2018/VE/00118" u="1"/>
        <s v="2018/VE/00063" u="1"/>
        <s v="2018/VE/00107" u="1"/>
        <s v="2018/VE/00179" u="1"/>
        <s v="2018/VE/00052" u="1"/>
        <s v="2018/VE/00168" u="1"/>
        <s v="2018/VE/00041" u="1"/>
        <s v="2018/VE/00157" u="1"/>
        <s v="2018/VE/00030" u="1"/>
        <s v="2018/VE/00146" u="1"/>
        <s v="2018/VE/00091" u="1"/>
        <s v="2018/VE/00135" u="1"/>
        <s v="2018/VE/00210" u="1"/>
        <s v="2018/VE/00049" u="1"/>
        <s v="2018/VE/00080" u="1"/>
        <s v="2018/VE/00124" u="1"/>
        <s v="2018/VE/00196" u="1"/>
        <s v="2018/VE/00038" u="1"/>
        <s v="2018/VE/00113" u="1"/>
        <s v="2018/VE/00185" u="1"/>
        <s v="2018/VE/00027" u="1"/>
        <s v="2018/VE/00099" u="1"/>
        <s v="2018/VE/00102" u="1"/>
        <s v="2018/VE/00174" u="1"/>
        <s v="2018/VE/00016" u="1"/>
        <s v="2018/VE/00088" u="1"/>
        <s v="2018/VE/00163" u="1"/>
        <s v="2018/VE/00207" u="1"/>
        <s v="2018/VE/00005" u="1"/>
        <s v="2018/VE/00077" u="1"/>
        <s v="2018/VE/00152" u="1"/>
        <s v="2018/VE/00066" u="1"/>
        <s v="2018/VE/00141" u="1"/>
        <s v="2018/VE/00055" u="1"/>
        <s v="2018/VE/00130" u="1"/>
        <s v="2018/VE/00044" u="1"/>
        <s v="2018/VE/00191" u="1"/>
        <s v="2018/VE/00033" u="1"/>
        <s v="2018/VE/00149" u="1"/>
        <s v="2018/VE/00180" u="1"/>
        <s v="2018/VE/00022" u="1"/>
        <s v="2018/VE/00094" u="1"/>
        <s v="2018/VE/00138" u="1"/>
        <s v="2018/VE/00011" u="1"/>
        <s v="2018/VE/00083" u="1"/>
        <s v="2018/VE/00127" u="1"/>
        <s v="2018/VE/00199" u="1"/>
        <s v="2018/VE/00202" u="1"/>
        <s v="2018/VE/00072" u="1"/>
        <s v="2018/VE/00116" u="1"/>
        <s v="2018/VE/00188" u="1"/>
        <s v="2018/VE/00061" u="1"/>
        <s v="2018/VE/00105" u="1"/>
        <s v="2018/VE/00177" u="1"/>
        <s v="2018/VE/00019" u="1"/>
        <s v="2018/VE/00050" u="1"/>
        <s v="2018/VE/00166" u="1"/>
        <s v="2018/VE/00008" u="1"/>
        <s v="2018/VE/00155" u="1"/>
        <s v="2018/VE/00069" u="1"/>
        <s v="2018/VE/00144" u="1"/>
        <s v="2018/VE/00058" u="1"/>
        <s v="2018/VE/00133" u="1"/>
        <s v="2018/VE/00047" u="1"/>
        <s v="2018/VE/00122" u="1"/>
        <s v="2018/VE/00194" u="1"/>
        <s v="2018/VE/00036" u="1"/>
        <s v="2018/VE/00111" u="1"/>
        <s v="2018/VE/00183" u="1"/>
        <s v="2018/VE/00025" u="1"/>
        <s v="2018/VE/00097" u="1"/>
        <s v="2018/VE/00100" u="1"/>
        <s v="2018/VE/00172" u="1"/>
        <s v="2018/VE/00014" u="1"/>
        <s v="2018/VE/00086" u="1"/>
        <s v="2018/VE/00161" u="1"/>
        <s v="2018/VE/00205" u="1"/>
        <s v="2018/VE/00075" u="1"/>
        <s v="2018/VE/00119" u="1"/>
        <s v="2018/VE/00150" u="1"/>
        <s v="2018/VE/00064" u="1"/>
        <s v="2018/VE/00108" u="1"/>
        <s v="2018/VE/00053" u="1"/>
        <s v="2018/VE/00169" u="1"/>
        <s v="2018/VE/00042" u="1"/>
        <s v="2018/VE/00158" u="1"/>
        <s v="2018/VE/00031" u="1"/>
        <s v="2018/VE/00147" u="1"/>
        <s v="2018/VE/00020" u="1"/>
        <s v="2018/VE/00092" u="1"/>
        <s v="2018/VE/00136" u="1"/>
        <s v="2018/VE/00211" u="1"/>
        <s v="2018/VE/00081" u="1"/>
        <s v="2018/VE/00125" u="1"/>
        <s v="2018/VE/00197" u="1"/>
        <s v="2018/VE/00200" u="1"/>
        <s v="2018/VE/00039" u="1"/>
        <s v="2018/VE/00070" u="1"/>
        <s v="2018/VE/00114" u="1"/>
        <s v="2018/VE/00186" u="1"/>
        <s v="2018/VE/00028" u="1"/>
        <s v="2018/VE/00103" u="1"/>
        <s v="2018/VE/00175" u="1"/>
        <s v="2018/VE/00017" u="1"/>
        <s v="2018/VE/00089" u="1"/>
        <s v="2018/VE/00164" u="1"/>
        <s v="2018/VE/00208" u="1"/>
        <s v="2018/VE/00006" u="1"/>
        <s v="2018/VE/00078" u="1"/>
        <s v="2018/VE/00153" u="1"/>
        <s v="2018/VE/00067" u="1"/>
        <s v="2018/VE/00142" u="1"/>
        <s v="2018/VE/00056" u="1"/>
        <s v="2018/VE/00131" u="1"/>
        <s v="2018/VE/00045" u="1"/>
        <s v="2018/VE/00120" u="1"/>
        <s v="2018/VE/00192" u="1"/>
        <s v="2018/VE/00034" u="1"/>
        <s v="2018/VE/00181" u="1"/>
        <s v="2018/VE/00023" u="1"/>
        <s v="2018/VE/00095" u="1"/>
        <s v="2018/VE/00139" u="1"/>
        <s v="2018/VE/00170" u="1"/>
        <s v="2018/VE/00012" u="1"/>
        <s v="2018/VE/00084" u="1"/>
        <s v="2018/VE/00128" u="1"/>
        <s v="2018/VE/00203" u="1"/>
        <s v="2018/VE/00073" u="1"/>
        <s v="2018/VE/00117" u="1"/>
        <s v="2018/VE/00189" u="1"/>
        <s v="2018/VE/00062" u="1"/>
        <s v="2018/VE/00106" u="1"/>
        <s v="2018/VE/00178" u="1"/>
        <s v="2018/VE/00051" u="1"/>
        <s v="2018/VE/00167" u="1"/>
        <s v="2018/VE/00009" u="1"/>
        <s v="2018/VE/00040" u="1"/>
        <s v="2018/VE/00156" u="1"/>
        <s v="2018/VE/00145" u="1"/>
        <s v="2018/VE/00059" u="1"/>
        <s v="2018/VE/00090" u="1"/>
        <s v="2018/VE/00134" u="1"/>
        <s v="2018/VE/00048" u="1"/>
        <s v="2018/VE/00123" u="1"/>
        <s v="2018/VE/00195" u="1"/>
        <s v="2018/VE/00037" u="1"/>
        <s v="2018/VE/00112" u="1"/>
        <s v="2018/VE/00184" u="1"/>
        <s v="2018/VE/00026" u="1"/>
        <s v="2018/VE/00098" u="1"/>
        <s v="2018/VE/00101" u="1"/>
        <s v="2018/VE/00173" u="1"/>
        <s v="2018/VE/00015" u="1"/>
        <s v="2018/VE/00087" u="1"/>
        <s v="2018/VE/00162" u="1"/>
        <s v="2018/VE/00206" u="1"/>
        <s v="2018/VE/00076" u="1"/>
        <s v="2018/VE/00151" u="1"/>
        <s v="2018/VE/00065" u="1"/>
        <s v="2018/VE/00109" u="1"/>
        <s v="2018/VE/00140" u="1"/>
      </sharedItems>
    </cacheField>
    <cacheField name="DATE" numFmtId="14">
      <sharedItems containsSemiMixedTypes="0" containsNonDate="0" containsDate="1" containsString="0" minDate="2018-09-04T00:00:00" maxDate="2018-11-17T00:00:00"/>
    </cacheField>
    <cacheField name="n° Client" numFmtId="0">
      <sharedItems/>
    </cacheField>
    <cacheField name="CLIENT" numFmtId="0">
      <sharedItems containsBlank="1" count="35">
        <s v="DI PIERRA"/>
        <s v="MARCO"/>
        <m u="1"/>
        <s v="RESTAURANT ARLEBLANC" u="1"/>
        <s v="CAMPING LES CHATAIGNIERS" u="1"/>
        <s v="FROMAGERIE DES MARCHES" u="1"/>
        <s v="DOMAINE ARLEBLANC" u="1"/>
        <s v="VENTE A LA FERME ESP" u="1"/>
        <s v="FROMAGERIE CONRAD" u="1"/>
        <s v="VIVACOOP" u="1"/>
        <s v="RESTAURANT LA CALECHE " u="1"/>
        <s v="RESTAURANT LA BASTIDE" u="1"/>
        <s v="RESTAURANT LA CLE DES CHAMPS" u="1"/>
        <s v="BOUCHERIE ESTEVENON" u="1"/>
        <s v="BOUCHER" u="1"/>
        <s v="RESTAURANT L'AGE DE GLACE" u="1"/>
        <s v="L'ECURIE DES LAUZIERES" u="1"/>
        <s v="CHAPUIS" u="1"/>
        <s v="BANC ET FILS" u="1"/>
        <s v="VENTE A LA FERME CHQ" u="1"/>
        <s v="RESTAURANT LE MARLEONE" u="1"/>
        <s v="DI PIERRO" u="1"/>
        <s v="ARDECHE BIEN ETRE" u="1"/>
        <s v="VIVAL" u="1"/>
        <s v="LA CEVENOLE" u="1"/>
        <s v="CAVEAU LA CEVENOLE" u="1"/>
        <s v="GROS " u="1"/>
        <s v="PROXI" u="1"/>
        <s v="RESTAURANT LA CALECHE" u="1"/>
        <s v="CAMPING ARLEBLANC" u="1"/>
        <s v="ETS RIBOT" u="1"/>
        <s v="BAR DES SPORTS" u="1"/>
        <s v="BOUCHERIE LA CHAROLAISE" u="1"/>
        <s v="BOUCHERIE MOULIN" u="1"/>
        <s v="BOUCHERIE ROUX" u="1"/>
      </sharedItems>
    </cacheField>
    <cacheField name="TTC" numFmtId="167">
      <sharedItems containsSemiMixedTypes="0" containsString="0" containsNumber="1" minValue="110" maxValue="282.14999999999998"/>
    </cacheField>
    <cacheField name="HT" numFmtId="167">
      <sharedItems containsSemiMixedTypes="0" containsString="0" containsNumber="1" minValue="100" maxValue="256.5"/>
    </cacheField>
    <cacheField name="TVA_x000a_5,5 %" numFmtId="167">
      <sharedItems containsString="0" containsBlank="1" containsNumber="1" containsInteger="1" minValue="0" maxValue="0"/>
    </cacheField>
    <cacheField name="TVA_x000a_7 %" numFmtId="167">
      <sharedItems containsString="0" containsBlank="1" containsNumber="1" containsInteger="1" minValue="0" maxValue="0"/>
    </cacheField>
    <cacheField name="TVA_x000a_10 %" numFmtId="167">
      <sharedItems containsSemiMixedTypes="0" containsString="0" containsNumber="1" minValue="10" maxValue="25.65"/>
    </cacheField>
    <cacheField name="TVA_x000a_20 %" numFmtId="167">
      <sharedItems containsString="0" containsBlank="1" containsNumber="1" containsInteger="1" minValue="0" maxValue="0"/>
    </cacheField>
    <cacheField name="Immobilisation" numFmtId="167">
      <sharedItems containsNonDate="0" containsString="0" containsBlank="1"/>
    </cacheField>
    <cacheField name="Fromage de chèvre" numFmtId="167">
      <sharedItems containsNonDate="0" containsString="0" containsBlank="1"/>
    </cacheField>
    <cacheField name="Fromage de vache" numFmtId="167">
      <sharedItems containsNonDate="0" containsString="0" containsBlank="1"/>
    </cacheField>
    <cacheField name="Tomme du Piqueberle" numFmtId="167">
      <sharedItems containsNonDate="0" containsString="0" containsBlank="1"/>
    </cacheField>
    <cacheField name="Fourme" numFmtId="167">
      <sharedItems containsNonDate="0" containsString="0" containsBlank="1"/>
    </cacheField>
    <cacheField name="Pot à l'huile" numFmtId="167">
      <sharedItems containsNonDate="0" containsString="0" containsBlank="1"/>
    </cacheField>
    <cacheField name="Confiture de Lait" numFmtId="167">
      <sharedItems containsNonDate="0" containsString="0" containsBlank="1"/>
    </cacheField>
    <cacheField name="Confiture de chataigne" numFmtId="167">
      <sharedItems containsNonDate="0" containsString="0" containsBlank="1"/>
    </cacheField>
    <cacheField name="Veau" numFmtId="167">
      <sharedItems containsNonDate="0" containsString="0" containsBlank="1"/>
    </cacheField>
    <cacheField name="Porc" numFmtId="167">
      <sharedItems containsString="0" containsBlank="1" containsNumber="1" minValue="256.5" maxValue="256.5"/>
    </cacheField>
    <cacheField name="Chevreau" numFmtId="167">
      <sharedItems containsString="0" containsBlank="1" containsNumber="1" containsInteger="1" minValue="100" maxValue="100"/>
    </cacheField>
    <cacheField name="Autres 3.8" numFmtId="167">
      <sharedItems containsNonDate="0" containsString="0" containsBlank="1"/>
    </cacheField>
    <cacheField name="Autres 4.50" numFmtId="167">
      <sharedItems containsNonDate="0" containsString="0" containsBlank="1"/>
    </cacheField>
    <cacheField name="Sac bretelle" numFmtId="167">
      <sharedItems containsNonDate="0" containsString="0" containsBlank="1"/>
    </cacheField>
    <cacheField name="Sac jute naturel" numFmtId="167">
      <sharedItems containsNonDate="0" containsString="0" containsBlank="1"/>
    </cacheField>
    <cacheField name="Caprin" numFmtId="167">
      <sharedItems containsNonDate="0" containsString="0" containsBlank="1"/>
    </cacheField>
    <cacheField name="Bovin" numFmtId="167">
      <sharedItems containsNonDate="0" containsString="0" containsBlank="1"/>
    </cacheField>
    <cacheField name="Chataigne" numFmtId="167">
      <sharedItems containsNonDate="0" containsString="0" containsBlank="1"/>
    </cacheField>
    <cacheField name="Raisin" numFmtId="167">
      <sharedItems containsNonDate="0" containsString="0" containsBlank="1"/>
    </cacheField>
    <cacheField name="FOIN" numFmtId="167">
      <sharedItems containsNonDate="0" containsString="0" containsBlank="1"/>
    </cacheField>
    <cacheField name="Miel 500g" numFmtId="167">
      <sharedItems containsNonDate="0" containsString="0" containsBlank="1"/>
    </cacheField>
    <cacheField name="Miel 1kg" numFmtId="167">
      <sharedItems containsNonDate="0" containsString="0" containsBlank="1"/>
    </cacheField>
    <cacheField name="Autres" numFmtId="167">
      <sharedItems containsNonDate="0" containsString="0" containsBlank="1"/>
    </cacheField>
    <cacheField name="Paiement" numFmtId="167">
      <sharedItems containsBlank="1" count="7">
        <s v="CHQ"/>
        <m/>
        <s v="ESP/CHQ" u="1"/>
        <s v="AVOIR" u="1"/>
        <s v="ESP" u="1"/>
        <s v="ESP " u="1"/>
        <s v="VIR" u="1"/>
      </sharedItems>
    </cacheField>
    <cacheField name="NUMERO" numFmtId="0">
      <sharedItems containsString="0" containsBlank="1" containsNumber="1" containsInteger="1" minValue="947596" maxValue="947596"/>
    </cacheField>
    <cacheField name="RETIRE" numFmtId="167">
      <sharedItems containsBlank="1"/>
    </cacheField>
    <cacheField name="Taux TVA" numFmtId="0">
      <sharedItems/>
    </cacheField>
    <cacheField name="MOIS" numFmtId="0">
      <sharedItems containsSemiMixedTypes="0" containsString="0" containsNumber="1" containsInteger="1" minValue="9" maxValue="11"/>
    </cacheField>
    <cacheField name="FACTURE" numFmtId="0">
      <sharedItems/>
    </cacheField>
    <cacheField name="Statut" numFmtId="0">
      <sharedItems/>
    </cacheField>
    <cacheField name="MONTANT TTC" numFmtId="167">
      <sharedItems containsSemiMixedTypes="0" containsString="0" containsNumber="1" minValue="110" maxValue="282.14999999999998"/>
    </cacheField>
    <cacheField name="CLIENTS" numFmtId="0">
      <sharedItems/>
    </cacheField>
    <cacheField name="DATE " numFmtId="164">
      <sharedItems containsSemiMixedTypes="0" containsNonDate="0" containsDate="1" containsString="0" minDate="2018-09-04T00:00:00" maxDate="2018-11-17T00:00:00"/>
    </cacheField>
    <cacheField name="ECHEANCE" numFmtId="164">
      <sharedItems containsSemiMixedTypes="0" containsNonDate="0" containsDate="1" containsString="0" minDate="2018-10-31T00:00:00" maxDate="2019-01-01T00:00:00"/>
    </cacheField>
    <cacheField name="RETARD" numFmtId="1">
      <sharedItems containsMixedTypes="1" containsNumber="1" containsInteger="1" minValue="-21" maxValue="10"/>
    </cacheField>
    <cacheField name="1ere RELANCE" numFmtId="164">
      <sharedItems containsNonDate="0" containsString="0" containsBlank="1"/>
    </cacheField>
    <cacheField name="2ème RELANCE" numFmtId="164">
      <sharedItems containsNonDate="0" containsString="0" containsBlank="1"/>
    </cacheField>
    <cacheField name="3ème RELANCE" numFmtId="164">
      <sharedItems containsNonDate="0" containsString="0" containsBlank="1"/>
    </cacheField>
    <cacheField name="4ème RELANCE" numFmtId="164">
      <sharedItems containsNonDate="0" containsString="0"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Vivi 07" refreshedDate="43444.888554282406" createdVersion="3" refreshedVersion="3" minRefreshableVersion="3" recordCount="1">
  <cacheSource type="worksheet">
    <worksheetSource name="Tableau24[#Tout]"/>
  </cacheSource>
  <cacheFields count="35">
    <cacheField name="FACTURE_x000a_NUMERO" numFmtId="0">
      <sharedItems count="170">
        <s v="2018/AC/00001"/>
        <s v="2018/AC/00054" u="1"/>
        <s v="2018/AC/00043" u="1"/>
        <s v="2018/AC/00159" u="1"/>
        <s v="2018/AC/00032" u="1"/>
        <s v="2018/AC/00148" u="1"/>
        <s v="2018/AC/00021" u="1"/>
        <s v="2018/AC/00093" u="1"/>
        <s v="2018/AC/00137" u="1"/>
        <s v="2018/AC/00010" u="1"/>
        <s v="2018/AC/00082" u="1"/>
        <s v="2018/AC/00126" u="1"/>
        <s v="2018/AC/00071" u="1"/>
        <s v="2018/AC/00115" u="1"/>
        <s v="2018/AC/00029" u="1"/>
        <s v="2018/AC/00060" u="1"/>
        <s v="2018/AC/00104" u="1"/>
        <s v="2018/AC/00018" u="1"/>
        <s v="2018/AC/00165" u="1"/>
        <s v="2018/AC/00007" u="1"/>
        <s v="2018/AC/00079" u="1"/>
        <s v="2018/AC/00154" u="1"/>
        <s v="2018/AC/00068" u="1"/>
        <s v="2018/AC/00143" u="1"/>
        <s v="2018/AC/00057" u="1"/>
        <s v="2018/AC/00132" u="1"/>
        <s v="2018/AC/00046" u="1"/>
        <s v="2018/AC/00121" u="1"/>
        <s v="2018/AC/00035" u="1"/>
        <s v="2018/AC/00110" u="1"/>
        <s v="2018/AC/00024" u="1"/>
        <s v="2018/AC/00096" u="1"/>
        <s v="2018/AC/00013" u="1"/>
        <s v="2018/AC/00085" u="1"/>
        <s v="2018/AC/00129" u="1"/>
        <s v="2018/AC/00160" u="1"/>
        <s v="2018/AC/00002" u="1"/>
        <s v="2018/AC/00074" u="1"/>
        <s v="2018/AC/00118" u="1"/>
        <s v="2018/AC/00063" u="1"/>
        <s v="2018/AC/00107" u="1"/>
        <s v="2018/AC/00052" u="1"/>
        <s v="2018/AC/00168" u="1"/>
        <s v="2018/AC/00041" u="1"/>
        <s v="2018/AC/00157" u="1"/>
        <s v="2018/AC/00030" u="1"/>
        <s v="2018/AC/00146" u="1"/>
        <s v="2018/AC/00091" u="1"/>
        <s v="2018/AC/00135" u="1"/>
        <s v="2018/AC/00049" u="1"/>
        <s v="2018/AC/00080" u="1"/>
        <s v="2018/AC/00124" u="1"/>
        <s v="2018/AC/00038" u="1"/>
        <s v="2018/AC/00113" u="1"/>
        <s v="2018/AC/00027" u="1"/>
        <s v="2018/AC/00099" u="1"/>
        <s v="2018/AC/00102" u="1"/>
        <s v="2018/AC/00016" u="1"/>
        <s v="2018/AC/00088" u="1"/>
        <s v="2018/AC/00163" u="1"/>
        <s v="2018/AC/00005" u="1"/>
        <s v="2018/AC/00077" u="1"/>
        <s v="2018/AC/00152" u="1"/>
        <s v="2018/AC/00066" u="1"/>
        <s v="2018/AC/00141" u="1"/>
        <s v="2018/AC/00055" u="1"/>
        <s v="2018/AC/00130" u="1"/>
        <s v="2018/AC/00044" u="1"/>
        <s v="2018/AC/00033" u="1"/>
        <s v="2018/AC/00149" u="1"/>
        <s v="2018/AC/00022" u="1"/>
        <s v="2018/AC/00094" u="1"/>
        <s v="2018/AC/00138" u="1"/>
        <s v="2018/AC/00011" u="1"/>
        <s v="2018/AC/00083" u="1"/>
        <s v="2018/AC/00127" u="1"/>
        <s v="2018/AC/00072" u="1"/>
        <s v="2018/AC/00116" u="1"/>
        <s v="2018/AC/00061" u="1"/>
        <s v="2018/AC/00105" u="1"/>
        <s v="2018/AC/00019" u="1"/>
        <s v="2018/AC/00050" u="1"/>
        <s v="2018/AC/00166" u="1"/>
        <s v="2018/AC/00008" u="1"/>
        <s v="2018/AC/00155" u="1"/>
        <s v="2018/AC/00069" u="1"/>
        <s v="2018/AC/00144" u="1"/>
        <s v="2018/AC/00058" u="1"/>
        <s v="2018/AC/00133" u="1"/>
        <s v="2018/AC/00047" u="1"/>
        <s v="2018/AC/00122" u="1"/>
        <s v="2018/AC/00036" u="1"/>
        <s v="2018/AC/00111" u="1"/>
        <s v="2018/AC/00025" u="1"/>
        <s v="2018/AC/00097" u="1"/>
        <s v="2018/AC/00100" u="1"/>
        <s v="2018/AC/00014" u="1"/>
        <s v="2018/AC/00086" u="1"/>
        <s v="2018/AC/00161" u="1"/>
        <s v="2018/AC/00003" u="1"/>
        <s v="2018/AC/00075" u="1"/>
        <s v="2018/AC/00119" u="1"/>
        <s v="2018/AC/00150" u="1"/>
        <s v="2018/AC/00064" u="1"/>
        <s v="2018/AC/00108" u="1"/>
        <s v="2018/AC/00053" u="1"/>
        <s v="2018/AC/00169" u="1"/>
        <s v="2018/AC/00042" u="1"/>
        <s v="2018/AC/00158" u="1"/>
        <s v="2018/AC/00031" u="1"/>
        <s v="2018/AC/00147" u="1"/>
        <s v="2018/AC/00020" u="1"/>
        <s v="2018/AC/00092" u="1"/>
        <s v="2018/AC/00136" u="1"/>
        <s v="2018/AC/00081" u="1"/>
        <s v="2018/AC/00125" u="1"/>
        <s v="2018/AC/00039" u="1"/>
        <s v="2018/AC/00070" u="1"/>
        <s v="2018/AC/00114" u="1"/>
        <s v="2018/AC/00028" u="1"/>
        <s v="2018/AC/00103" u="1"/>
        <s v="2018/AC/00017" u="1"/>
        <s v="2018/AC/00089" u="1"/>
        <s v="2018/AC/00164" u="1"/>
        <s v="2018/AC/00006" u="1"/>
        <s v="2018/AC/00078" u="1"/>
        <s v="2018/AC/00153" u="1"/>
        <s v="2018/AC/00067" u="1"/>
        <s v="2018/AC/00142" u="1"/>
        <s v="2018/AC/00056" u="1"/>
        <s v="2018/AC/00131" u="1"/>
        <s v="2018/AC/00045" u="1"/>
        <s v="2018/AC/00120" u="1"/>
        <s v="2018/AC/00034" u="1"/>
        <s v="2018/AC/00023" u="1"/>
        <s v="2018/AC/00095" u="1"/>
        <s v="2018/AC/00139" u="1"/>
        <s v="2018/AC/00170" u="1"/>
        <s v="2018/AC/00012" u="1"/>
        <s v="2018/AC/00084" u="1"/>
        <s v="2018/AC/00128" u="1"/>
        <s v="2018/AC/00073" u="1"/>
        <s v="2018/AC/00117" u="1"/>
        <s v="2018/AC/00062" u="1"/>
        <s v="2018/AC/00106" u="1"/>
        <s v="2018/AC/00051" u="1"/>
        <s v="2018/AC/00167" u="1"/>
        <s v="2018/AC/00009" u="1"/>
        <s v="2018/AC/00040" u="1"/>
        <s v="2018/AC/00156" u="1"/>
        <s v="2018/AC/00145" u="1"/>
        <s v="2018/AC/00059" u="1"/>
        <s v="2018/AC/00090" u="1"/>
        <s v="2018/AC/00134" u="1"/>
        <s v="2018/AC/00048" u="1"/>
        <s v="2018/AC/00123" u="1"/>
        <s v="2018/AC/00037" u="1"/>
        <s v="2018/AC/00112" u="1"/>
        <s v="2018/AC/00026" u="1"/>
        <s v="2018/AC/00098" u="1"/>
        <s v="2018/AC/00101" u="1"/>
        <s v="2018/AC/00015" u="1"/>
        <s v="2018/AC/00087" u="1"/>
        <s v="2018/AC/00162" u="1"/>
        <s v="2018/AC/00004" u="1"/>
        <s v="2018/AC/00076" u="1"/>
        <s v="2018/AC/00151" u="1"/>
        <s v="2018/AC/00065" u="1"/>
        <s v="2018/AC/00109" u="1"/>
        <s v="2018/AC/00140" u="1"/>
      </sharedItems>
    </cacheField>
    <cacheField name="DATE" numFmtId="164">
      <sharedItems containsSemiMixedTypes="0" containsNonDate="0" containsDate="1" containsString="0" minDate="2018-01-15T00:00:00" maxDate="2018-01-16T00:00:00" count="1">
        <d v="2018-01-15T00:00:00"/>
      </sharedItems>
      <fieldGroup base="1">
        <rangePr groupBy="months" startDate="2018-01-15T00:00:00" endDate="2018-01-16T00:00:00"/>
        <groupItems count="14">
          <s v="&lt;15/01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6/01/2018"/>
        </groupItems>
      </fieldGroup>
    </cacheField>
    <cacheField name="FOURNISSEURS" numFmtId="0">
      <sharedItems containsBlank="1" count="57">
        <s v="NATURA PRO"/>
        <m u="1"/>
        <s v="SUPER U " u="1"/>
        <s v="ENTREPOT BRICOLAGE" u="1"/>
        <s v="AYGON" u="1"/>
        <s v="FROID VANSEEN" u="1"/>
        <s v="CLINIQUE A NIMO" u="1"/>
        <s v="LECLERC" u="1"/>
        <s v="FRANCK PNEUS" u="1"/>
        <s v="LABO DEPARTEMENT AIN" u="1"/>
        <s v="DISCOUNT NEGOCE" u="1"/>
        <s v="ARDECHE AFFUTAGE" u="1"/>
        <s v="VALSOLEIL" u="1"/>
        <s v="GAEC DE LA ROCHE" u="1"/>
        <s v="WELDOM" u="1"/>
        <s v="MERIC" u="1"/>
        <s v="SAMSE" u="1"/>
        <s v="MAT'AL" u="1"/>
        <s v="GUILLOU" u="1"/>
        <s v="NATURE &amp; LOISIRS" u="1"/>
        <s v="CHALLON SARL" u="1"/>
        <s v="INTERMARCHE" u="1"/>
        <s v="BANC" u="1"/>
        <s v="CHAMBRE AGRICULTURE" u="1"/>
        <s v="SCEA LES DENAILLES" u="1"/>
        <s v="EMBAL 07" u="1"/>
        <s v="MECA SERVICE CLAUDE" u="1"/>
        <s v="BANC ET FILS" u="1"/>
        <s v="FIC" u="1"/>
        <s v="YESSS ELECTRIQUE" u="1"/>
        <s v="PPI" u="1"/>
        <s v="PEPINIERES TOURETTE" u="1"/>
        <s v="AUTOVISION" u="1"/>
        <s v="CARREFOUR MARKET" u="1"/>
        <s v="KOROL" u="1"/>
        <s v="XR REPRO" u="1"/>
        <s v="HUMEAU" u="1"/>
        <s v="COQUARD" u="1"/>
        <s v="CARBURANTS SUD ARDECHE" u="1"/>
        <s v="LAURENT" u="1"/>
        <s v="LES VANS COMBUSTIBLES" u="1"/>
        <s v="ZOLPAN" u="1"/>
        <s v="GDS" u="1"/>
        <s v="LADROME" u="1"/>
        <s v="GILBERT ET FILS" u="1"/>
        <s v="BRICOMARCHE" u="1"/>
        <s v="EARL DES ABATTUS" u="1"/>
        <s v="DOMO TIC" u="1"/>
        <s v="SUD BUREAU" u="1"/>
        <s v="RIEUBON" u="1"/>
        <s v="EARL LE BRUSQUET" u="1"/>
        <s v="DURACELL" u="1"/>
        <s v="STATION SUD ARDECHE" u="1"/>
        <s v="ABP IMAGES SERVICES" u="1"/>
        <s v="BOUVET" u="1"/>
        <s v="GIE INFOGREFFE" u="1"/>
        <s v="CERES" u="1"/>
      </sharedItems>
    </cacheField>
    <cacheField name="LIBELLES" numFmtId="0">
      <sharedItems/>
    </cacheField>
    <cacheField name="TTC" numFmtId="43">
      <sharedItems containsSemiMixedTypes="0" containsString="0" containsNumber="1" minValue="29.9" maxValue="29.9"/>
    </cacheField>
    <cacheField name="HT" numFmtId="43">
      <sharedItems containsSemiMixedTypes="0" containsString="0" containsNumber="1" minValue="24.92" maxValue="24.92"/>
    </cacheField>
    <cacheField name="TVA_x000a_1 %" numFmtId="167">
      <sharedItems containsNonDate="0" containsString="0" containsBlank="1"/>
    </cacheField>
    <cacheField name="TVA_x000a_5,5 %" numFmtId="167">
      <sharedItems containsNonDate="0" containsString="0" containsBlank="1"/>
    </cacheField>
    <cacheField name="TVA_x000a_7 %" numFmtId="167">
      <sharedItems containsNonDate="0" containsString="0" containsBlank="1"/>
    </cacheField>
    <cacheField name="TVA_x000a_10 %" numFmtId="167">
      <sharedItems containsNonDate="0" containsString="0" containsBlank="1"/>
    </cacheField>
    <cacheField name="TVA_x000a_20 %" numFmtId="167">
      <sharedItems containsSemiMixedTypes="0" containsString="0" containsNumber="1" minValue="4.9800000000000004" maxValue="4.9800000000000004"/>
    </cacheField>
    <cacheField name="TVA IMMO_x000a_20 %" numFmtId="167">
      <sharedItems containsNonDate="0" containsString="0" containsBlank="1"/>
    </cacheField>
    <cacheField name="Immobilisations" numFmtId="167">
      <sharedItems containsNonDate="0" containsString="0" containsBlank="1"/>
    </cacheField>
    <cacheField name="Animaux" numFmtId="167">
      <sharedItems containsNonDate="0" containsString="0" containsBlank="1"/>
    </cacheField>
    <cacheField name="Engrais" numFmtId="167">
      <sharedItems containsNonDate="0" containsString="0" containsBlank="1"/>
    </cacheField>
    <cacheField name="Semences et _x000a_plants" numFmtId="167">
      <sharedItems containsNonDate="0" containsString="0" containsBlank="1"/>
    </cacheField>
    <cacheField name="Produits de_x000a_défense végétaux" numFmtId="167">
      <sharedItems containsNonDate="0" containsString="0" containsBlank="1"/>
    </cacheField>
    <cacheField name="Aliments_x000a_ animaux" numFmtId="167">
      <sharedItems containsSemiMixedTypes="0" containsString="0" containsNumber="1" minValue="24.92" maxValue="24.92"/>
    </cacheField>
    <cacheField name="Fournitures_x000a_ANIMAUX_x000a_PAILLE/FOIN" numFmtId="167">
      <sharedItems containsNonDate="0" containsString="0" containsBlank="1"/>
    </cacheField>
    <cacheField name="Produits_x000a_vétérinaires" numFmtId="167">
      <sharedItems containsNonDate="0" containsString="0" containsBlank="1"/>
    </cacheField>
    <cacheField name="Prestations animaux" numFmtId="167">
      <sharedItems containsNonDate="0" containsString="0" containsBlank="1"/>
    </cacheField>
    <cacheField name="Autres produits et_x000a_prestations" numFmtId="167">
      <sharedItems containsNonDate="0" containsString="0" containsBlank="1"/>
    </cacheField>
    <cacheField name="Carburant_x000a_fioul" numFmtId="167">
      <sharedItems containsNonDate="0" containsString="0" containsBlank="1"/>
    </cacheField>
    <cacheField name="Autres biens et _x000a_marchandises" numFmtId="167">
      <sharedItems containsNonDate="0" containsString="0" containsBlank="1"/>
    </cacheField>
    <cacheField name="Fournitures_x000a_BUREAU" numFmtId="167">
      <sharedItems containsNonDate="0" containsString="0" containsBlank="1"/>
    </cacheField>
    <cacheField name="Fournitures_x000a_FROMAGERIE" numFmtId="167">
      <sharedItems containsNonDate="0" containsString="0" containsBlank="1"/>
    </cacheField>
    <cacheField name="Entretien_x000a_réparation" numFmtId="167">
      <sharedItems containsNonDate="0" containsString="0" containsBlank="1"/>
    </cacheField>
    <cacheField name="MODE" numFmtId="0">
      <sharedItems containsBlank="1" count="5">
        <s v="CHQ"/>
        <m u="1"/>
        <s v="AVOIR" u="1"/>
        <s v="ESP" u="1"/>
        <s v="VIR" u="1"/>
      </sharedItems>
    </cacheField>
    <cacheField name="NUMERO" numFmtId="0">
      <sharedItems containsSemiMixedTypes="0" containsString="0" containsNumber="1" containsInteger="1" minValue="8320266" maxValue="8320266"/>
    </cacheField>
    <cacheField name="RETIRE" numFmtId="0">
      <sharedItems/>
    </cacheField>
    <cacheField name="MOIS" numFmtId="0">
      <sharedItems containsSemiMixedTypes="0" containsString="0" containsNumber="1" containsInteger="1" minValue="1" maxValue="1"/>
    </cacheField>
    <cacheField name="MONTANT" numFmtId="167">
      <sharedItems containsSemiMixedTypes="0" containsString="0" containsNumber="1" minValue="29.9" maxValue="29.9"/>
    </cacheField>
    <cacheField name="FOURNISSEURS " numFmtId="0">
      <sharedItems/>
    </cacheField>
    <cacheField name="FACTURE " numFmtId="0">
      <sharedItems/>
    </cacheField>
    <cacheField name="DATE " numFmtId="164">
      <sharedItems containsSemiMixedTypes="0" containsNonDate="0" containsDate="1" containsString="0" minDate="2018-01-15T00:00:00" maxDate="2018-01-16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d v="2018-09-04T00:00:00"/>
    <s v="CL1"/>
    <x v="0"/>
    <n v="282.14999999999998"/>
    <n v="256.5"/>
    <n v="0"/>
    <n v="0"/>
    <n v="25.65"/>
    <n v="0"/>
    <m/>
    <m/>
    <m/>
    <m/>
    <m/>
    <m/>
    <m/>
    <m/>
    <m/>
    <n v="256.5"/>
    <m/>
    <m/>
    <m/>
    <m/>
    <m/>
    <m/>
    <m/>
    <m/>
    <m/>
    <m/>
    <m/>
    <m/>
    <m/>
    <x v="0"/>
    <n v="947596"/>
    <s v="OK"/>
    <s v="TVA_x000a_10 %"/>
    <n v="9"/>
    <s v="2018/VE/00001"/>
    <b v="0"/>
    <n v="282.14999999999998"/>
    <s v="DI PIERRA"/>
    <d v="2018-09-04T00:00:00"/>
    <d v="2018-10-31T00:00:00"/>
    <s v="Soldé"/>
    <m/>
    <m/>
    <m/>
    <m/>
  </r>
  <r>
    <x v="1"/>
    <d v="2018-10-10T00:00:00"/>
    <s v="CL1"/>
    <x v="0"/>
    <n v="110"/>
    <n v="100"/>
    <m/>
    <m/>
    <n v="10"/>
    <m/>
    <m/>
    <m/>
    <m/>
    <m/>
    <m/>
    <m/>
    <m/>
    <m/>
    <m/>
    <m/>
    <n v="100"/>
    <m/>
    <m/>
    <m/>
    <m/>
    <m/>
    <m/>
    <m/>
    <m/>
    <m/>
    <m/>
    <m/>
    <m/>
    <x v="1"/>
    <m/>
    <m/>
    <s v="TVA_x000a_10 %"/>
    <n v="10"/>
    <s v="2018/VE/00002"/>
    <s v="Relancer"/>
    <n v="110"/>
    <s v="DI PIERRA"/>
    <d v="2018-10-10T00:00:00"/>
    <d v="2018-11-30T00:00:00"/>
    <n v="10"/>
    <m/>
    <m/>
    <m/>
    <m/>
  </r>
  <r>
    <x v="2"/>
    <d v="2018-10-12T00:00:00"/>
    <s v="CL2"/>
    <x v="1"/>
    <n v="110"/>
    <n v="100"/>
    <m/>
    <m/>
    <n v="10"/>
    <m/>
    <m/>
    <m/>
    <m/>
    <m/>
    <m/>
    <m/>
    <m/>
    <m/>
    <m/>
    <m/>
    <n v="100"/>
    <m/>
    <m/>
    <m/>
    <m/>
    <m/>
    <m/>
    <m/>
    <m/>
    <m/>
    <m/>
    <m/>
    <m/>
    <x v="1"/>
    <m/>
    <m/>
    <s v="TVA_x000a_10 %"/>
    <n v="10"/>
    <s v="2018/VE/00003"/>
    <s v="Relancer"/>
    <n v="110"/>
    <s v="MARCO"/>
    <d v="2018-10-12T00:00:00"/>
    <d v="2018-11-30T00:00:00"/>
    <n v="10"/>
    <m/>
    <m/>
    <m/>
    <m/>
  </r>
  <r>
    <x v="3"/>
    <d v="2018-11-16T00:00:00"/>
    <s v="CL2"/>
    <x v="1"/>
    <n v="282.14999999999998"/>
    <n v="256.5"/>
    <m/>
    <m/>
    <n v="25.65"/>
    <m/>
    <m/>
    <m/>
    <m/>
    <m/>
    <m/>
    <m/>
    <m/>
    <m/>
    <m/>
    <n v="256.5"/>
    <m/>
    <m/>
    <m/>
    <m/>
    <m/>
    <m/>
    <m/>
    <m/>
    <m/>
    <m/>
    <m/>
    <m/>
    <m/>
    <x v="1"/>
    <m/>
    <m/>
    <s v="TVA_x000a_10 %"/>
    <n v="11"/>
    <s v="2018/VE/00004"/>
    <s v=""/>
    <n v="282.14999999999998"/>
    <s v="MARCO"/>
    <d v="2018-11-16T00:00:00"/>
    <d v="2018-12-31T00:00:00"/>
    <n v="-21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x v="0"/>
    <x v="0"/>
    <x v="0"/>
    <s v="ALIMENTS ANIMAUX"/>
    <n v="29.9"/>
    <n v="24.92"/>
    <m/>
    <m/>
    <m/>
    <m/>
    <n v="4.9800000000000004"/>
    <m/>
    <m/>
    <m/>
    <m/>
    <m/>
    <m/>
    <n v="24.92"/>
    <m/>
    <m/>
    <m/>
    <m/>
    <m/>
    <m/>
    <m/>
    <m/>
    <m/>
    <x v="0"/>
    <n v="8320266"/>
    <s v="OK"/>
    <n v="1"/>
    <n v="29.9"/>
    <s v="NATURA PRO"/>
    <s v="2018/AC/00001"/>
    <d v="2018-01-15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11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CLIENTS">
  <location ref="A4:B7" firstHeaderRow="1" firstDataRow="1" firstDataCol="1" rowPageCount="1" colPageCount="1"/>
  <pivotFields count="49">
    <pivotField axis="axisRow" showAll="0" sortType="ascending">
      <items count="212">
        <item x="0"/>
        <item x="1"/>
        <item x="2"/>
        <item x="3"/>
        <item m="1" x="78"/>
        <item m="1" x="157"/>
        <item m="1" x="28"/>
        <item m="1" x="107"/>
        <item m="1" x="185"/>
        <item m="1" x="13"/>
        <item m="1" x="93"/>
        <item m="1" x="173"/>
        <item m="1" x="44"/>
        <item m="1" x="123"/>
        <item m="1" x="202"/>
        <item m="1" x="74"/>
        <item m="1" x="153"/>
        <item m="1" x="25"/>
        <item m="1" x="104"/>
        <item m="1" x="138"/>
        <item m="1" x="10"/>
        <item m="1" x="90"/>
        <item m="1" x="169"/>
        <item m="1" x="41"/>
        <item m="1" x="119"/>
        <item m="1" x="198"/>
        <item m="1" x="70"/>
        <item m="1" x="150"/>
        <item m="1" x="21"/>
        <item m="1" x="58"/>
        <item m="1" x="136"/>
        <item m="1" x="8"/>
        <item m="1" x="87"/>
        <item m="1" x="167"/>
        <item m="1" x="38"/>
        <item m="1" x="116"/>
        <item m="1" x="195"/>
        <item m="1" x="67"/>
        <item m="1" x="146"/>
        <item m="1" x="186"/>
        <item m="1" x="56"/>
        <item m="1" x="134"/>
        <item m="1" x="5"/>
        <item m="1" x="85"/>
        <item m="1" x="164"/>
        <item m="1" x="35"/>
        <item m="1" x="113"/>
        <item m="1" x="192"/>
        <item m="1" x="63"/>
        <item m="1" x="105"/>
        <item m="1" x="183"/>
        <item m="1" x="54"/>
        <item m="1" x="132"/>
        <item m="1" x="4"/>
        <item m="1" x="83"/>
        <item m="1" x="162"/>
        <item m="1" x="33"/>
        <item m="1" x="111"/>
        <item m="1" x="189"/>
        <item m="1" x="22"/>
        <item m="1" x="101"/>
        <item m="1" x="180"/>
        <item m="1" x="51"/>
        <item m="1" x="130"/>
        <item m="1" x="208"/>
        <item m="1" x="81"/>
        <item m="1" x="160"/>
        <item m="1" x="31"/>
        <item m="1" x="109"/>
        <item m="1" x="147"/>
        <item m="1" x="18"/>
        <item m="1" x="98"/>
        <item m="1" x="177"/>
        <item m="1" x="49"/>
        <item m="1" x="127"/>
        <item m="1" x="206"/>
        <item m="1" x="79"/>
        <item m="1" x="158"/>
        <item m="1" x="29"/>
        <item m="1" x="64"/>
        <item m="1" x="142"/>
        <item m="1" x="14"/>
        <item m="1" x="94"/>
        <item m="1" x="174"/>
        <item m="1" x="45"/>
        <item m="1" x="124"/>
        <item m="1" x="203"/>
        <item m="1" x="75"/>
        <item m="1" x="154"/>
        <item m="1" x="190"/>
        <item m="1" x="60"/>
        <item m="1" x="139"/>
        <item m="1" x="11"/>
        <item m="1" x="91"/>
        <item m="1" x="170"/>
        <item m="1" x="42"/>
        <item m="1" x="120"/>
        <item m="1" x="199"/>
        <item m="1" x="71"/>
        <item m="1" x="121"/>
        <item m="1" x="200"/>
        <item m="1" x="72"/>
        <item m="1" x="151"/>
        <item m="1" x="23"/>
        <item m="1" x="102"/>
        <item m="1" x="181"/>
        <item m="1" x="52"/>
        <item m="1" x="131"/>
        <item m="1" x="209"/>
        <item m="1" x="39"/>
        <item m="1" x="117"/>
        <item m="1" x="196"/>
        <item m="1" x="68"/>
        <item m="1" x="148"/>
        <item m="1" x="19"/>
        <item m="1" x="99"/>
        <item m="1" x="178"/>
        <item m="1" x="50"/>
        <item m="1" x="128"/>
        <item m="1" x="165"/>
        <item m="1" x="36"/>
        <item m="1" x="114"/>
        <item m="1" x="193"/>
        <item m="1" x="65"/>
        <item m="1" x="143"/>
        <item m="1" x="15"/>
        <item m="1" x="95"/>
        <item m="1" x="175"/>
        <item m="1" x="46"/>
        <item m="1" x="84"/>
        <item m="1" x="163"/>
        <item m="1" x="34"/>
        <item m="1" x="112"/>
        <item m="1" x="191"/>
        <item m="1" x="61"/>
        <item m="1" x="140"/>
        <item m="1" x="12"/>
        <item m="1" x="92"/>
        <item m="1" x="171"/>
        <item m="1" x="210"/>
        <item m="1" x="82"/>
        <item m="1" x="161"/>
        <item m="1" x="32"/>
        <item m="1" x="110"/>
        <item m="1" x="188"/>
        <item m="1" x="59"/>
        <item m="1" x="137"/>
        <item m="1" x="9"/>
        <item m="1" x="88"/>
        <item m="1" x="129"/>
        <item m="1" x="207"/>
        <item m="1" x="80"/>
        <item m="1" x="159"/>
        <item m="1" x="30"/>
        <item m="1" x="108"/>
        <item m="1" x="187"/>
        <item m="1" x="57"/>
        <item m="1" x="135"/>
        <item m="1" x="6"/>
        <item m="1" x="47"/>
        <item m="1" x="125"/>
        <item m="1" x="204"/>
        <item m="1" x="76"/>
        <item m="1" x="155"/>
        <item m="1" x="26"/>
        <item m="1" x="106"/>
        <item m="1" x="184"/>
        <item m="1" x="55"/>
        <item m="1" x="133"/>
        <item m="1" x="172"/>
        <item m="1" x="43"/>
        <item m="1" x="122"/>
        <item m="1" x="201"/>
        <item m="1" x="73"/>
        <item m="1" x="152"/>
        <item m="1" x="24"/>
        <item m="1" x="103"/>
        <item m="1" x="182"/>
        <item m="1" x="53"/>
        <item m="1" x="89"/>
        <item m="1" x="168"/>
        <item m="1" x="40"/>
        <item m="1" x="118"/>
        <item m="1" x="197"/>
        <item m="1" x="69"/>
        <item m="1" x="149"/>
        <item m="1" x="20"/>
        <item m="1" x="100"/>
        <item m="1" x="179"/>
        <item m="1" x="7"/>
        <item m="1" x="86"/>
        <item m="1" x="166"/>
        <item m="1" x="37"/>
        <item m="1" x="115"/>
        <item m="1" x="194"/>
        <item m="1" x="66"/>
        <item m="1" x="144"/>
        <item m="1" x="16"/>
        <item m="1" x="96"/>
        <item m="1" x="145"/>
        <item m="1" x="17"/>
        <item m="1" x="97"/>
        <item m="1" x="176"/>
        <item m="1" x="48"/>
        <item m="1" x="126"/>
        <item m="1" x="205"/>
        <item m="1" x="77"/>
        <item m="1" x="156"/>
        <item m="1" x="27"/>
        <item m="1" x="62"/>
        <item m="1" x="141"/>
        <item t="default"/>
      </items>
    </pivotField>
    <pivotField numFmtId="14" showAll="0"/>
    <pivotField showAll="0"/>
    <pivotField axis="axisRow" showAll="0">
      <items count="36">
        <item m="1" x="31"/>
        <item m="1" x="13"/>
        <item m="1" x="32"/>
        <item m="1" x="33"/>
        <item m="1" x="34"/>
        <item m="1" x="29"/>
        <item m="1" x="17"/>
        <item m="1" x="21"/>
        <item m="1" x="5"/>
        <item m="1" x="26"/>
        <item m="1" x="24"/>
        <item m="1" x="3"/>
        <item m="1" x="28"/>
        <item m="1" x="10"/>
        <item m="1" x="19"/>
        <item m="1" x="7"/>
        <item m="1" x="9"/>
        <item m="1" x="23"/>
        <item m="1" x="4"/>
        <item m="1" x="11"/>
        <item m="1" x="27"/>
        <item m="1" x="22"/>
        <item m="1" x="16"/>
        <item m="1" x="20"/>
        <item m="1" x="30"/>
        <item m="1" x="12"/>
        <item m="1" x="15"/>
        <item m="1" x="6"/>
        <item m="1" x="8"/>
        <item m="1" x="25"/>
        <item m="1" x="18"/>
        <item m="1" x="14"/>
        <item m="1" x="2"/>
        <item x="0"/>
        <item x="1"/>
        <item t="default"/>
      </items>
    </pivotField>
    <pivotField dataField="1" numFmtId="167" showAll="0"/>
    <pivotField numFmtId="167" showAll="0"/>
    <pivotField numFmtId="167" showAll="0"/>
    <pivotField numFmtId="167" showAll="0"/>
    <pivotField numFmtId="167" showAll="0"/>
    <pivotField numFmtId="167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axis="axisPage" showAll="0">
      <items count="8">
        <item sd="0" x="0"/>
        <item sd="0" m="1" x="4"/>
        <item sd="0" m="1" x="5"/>
        <item sd="0" m="1" x="2"/>
        <item x="1"/>
        <item m="1" x="6"/>
        <item m="1" x="3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numFmtId="167" showAll="0" defaultSubtotal="0"/>
    <pivotField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3"/>
    <field x="0"/>
  </rowFields>
  <rowItems count="3">
    <i>
      <x v="33"/>
    </i>
    <i r="1">
      <x/>
    </i>
    <i t="grand">
      <x/>
    </i>
  </rowItems>
  <colItems count="1">
    <i/>
  </colItems>
  <pageFields count="1">
    <pageField fld="33" item="0" hier="-1"/>
  </pageFields>
  <dataFields count="1">
    <dataField name="TTC  " fld="4" baseField="0" baseItem="0" numFmtId="167"/>
  </dataFields>
  <formats count="9">
    <format dxfId="34">
      <pivotArea outline="0" collapsedLevelsAreSubtotals="1" fieldPosition="0"/>
    </format>
    <format dxfId="33">
      <pivotArea dataOnly="0" labelOnly="1" outline="0" fieldPosition="0">
        <references count="1">
          <reference field="33" count="1">
            <x v="4"/>
          </reference>
        </references>
      </pivotArea>
    </format>
    <format dxfId="32">
      <pivotArea dataOnly="0" labelOnly="1" outline="0" axis="axisValues" fieldPosition="0"/>
    </format>
    <format dxfId="31">
      <pivotArea type="all" dataOnly="0" outline="0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field="3" type="button" dataOnly="0" labelOnly="1" outline="0" axis="axisRow" fieldPosition="0"/>
    </format>
    <format dxfId="27">
      <pivotArea field="3" type="button" dataOnly="0" labelOnly="1" outline="0" axis="axisRow" fieldPosition="0"/>
    </format>
    <format dxfId="26">
      <pivotArea grandRow="1" outline="0" collapsedLevelsAreSubtotals="1" fieldPosition="0"/>
    </format>
  </formats>
  <pivotTableStyleInfo name="PivotStyleMedium1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12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Fournisseurs">
  <location ref="A4:B7" firstHeaderRow="1" firstDataRow="1" firstDataCol="1" rowPageCount="1" colPageCount="1"/>
  <pivotFields count="35">
    <pivotField axis="axisRow" showAll="0">
      <items count="171">
        <item x="0"/>
        <item m="1" x="36"/>
        <item m="1" x="99"/>
        <item m="1" x="164"/>
        <item m="1" x="60"/>
        <item m="1" x="124"/>
        <item m="1" x="19"/>
        <item m="1" x="83"/>
        <item m="1" x="147"/>
        <item m="1" x="9"/>
        <item m="1" x="73"/>
        <item m="1" x="138"/>
        <item m="1" x="32"/>
        <item m="1" x="96"/>
        <item m="1" x="161"/>
        <item m="1" x="57"/>
        <item m="1" x="121"/>
        <item m="1" x="17"/>
        <item m="1" x="80"/>
        <item m="1" x="111"/>
        <item m="1" x="6"/>
        <item m="1" x="70"/>
        <item m="1" x="134"/>
        <item m="1" x="30"/>
        <item m="1" x="93"/>
        <item m="1" x="158"/>
        <item m="1" x="54"/>
        <item m="1" x="119"/>
        <item m="1" x="14"/>
        <item m="1" x="45"/>
        <item m="1" x="109"/>
        <item m="1" x="4"/>
        <item m="1" x="68"/>
        <item m="1" x="133"/>
        <item m="1" x="28"/>
        <item m="1" x="91"/>
        <item m="1" x="156"/>
        <item m="1" x="52"/>
        <item m="1" x="116"/>
        <item m="1" x="148"/>
        <item m="1" x="43"/>
        <item m="1" x="107"/>
        <item m="1" x="2"/>
        <item m="1" x="67"/>
        <item m="1" x="131"/>
        <item m="1" x="26"/>
        <item m="1" x="89"/>
        <item m="1" x="154"/>
        <item m="1" x="49"/>
        <item m="1" x="81"/>
        <item m="1" x="145"/>
        <item m="1" x="41"/>
        <item m="1" x="105"/>
        <item m="1" x="1"/>
        <item m="1" x="65"/>
        <item m="1" x="129"/>
        <item m="1" x="24"/>
        <item m="1" x="87"/>
        <item m="1" x="151"/>
        <item m="1" x="15"/>
        <item m="1" x="78"/>
        <item m="1" x="143"/>
        <item m="1" x="39"/>
        <item m="1" x="103"/>
        <item m="1" x="167"/>
        <item m="1" x="63"/>
        <item m="1" x="127"/>
        <item m="1" x="22"/>
        <item m="1" x="85"/>
        <item m="1" x="117"/>
        <item m="1" x="12"/>
        <item m="1" x="76"/>
        <item m="1" x="141"/>
        <item m="1" x="37"/>
        <item m="1" x="100"/>
        <item m="1" x="165"/>
        <item m="1" x="61"/>
        <item m="1" x="125"/>
        <item m="1" x="20"/>
        <item m="1" x="50"/>
        <item m="1" x="114"/>
        <item m="1" x="10"/>
        <item m="1" x="74"/>
        <item m="1" x="139"/>
        <item m="1" x="33"/>
        <item m="1" x="97"/>
        <item m="1" x="162"/>
        <item m="1" x="58"/>
        <item m="1" x="122"/>
        <item m="1" x="152"/>
        <item m="1" x="47"/>
        <item m="1" x="112"/>
        <item m="1" x="7"/>
        <item m="1" x="71"/>
        <item m="1" x="135"/>
        <item m="1" x="31"/>
        <item m="1" x="94"/>
        <item m="1" x="159"/>
        <item m="1" x="55"/>
        <item m="1" x="95"/>
        <item m="1" x="160"/>
        <item m="1" x="56"/>
        <item m="1" x="120"/>
        <item m="1" x="16"/>
        <item m="1" x="79"/>
        <item m="1" x="144"/>
        <item m="1" x="40"/>
        <item m="1" x="104"/>
        <item m="1" x="168"/>
        <item m="1" x="29"/>
        <item m="1" x="92"/>
        <item m="1" x="157"/>
        <item m="1" x="53"/>
        <item m="1" x="118"/>
        <item m="1" x="13"/>
        <item m="1" x="77"/>
        <item m="1" x="142"/>
        <item m="1" x="38"/>
        <item m="1" x="101"/>
        <item m="1" x="132"/>
        <item m="1" x="27"/>
        <item m="1" x="90"/>
        <item m="1" x="155"/>
        <item m="1" x="51"/>
        <item m="1" x="115"/>
        <item m="1" x="11"/>
        <item m="1" x="75"/>
        <item m="1" x="140"/>
        <item m="1" x="34"/>
        <item m="1" x="66"/>
        <item m="1" x="130"/>
        <item m="1" x="25"/>
        <item m="1" x="88"/>
        <item m="1" x="153"/>
        <item m="1" x="48"/>
        <item m="1" x="113"/>
        <item m="1" x="8"/>
        <item m="1" x="72"/>
        <item m="1" x="136"/>
        <item m="1" x="169"/>
        <item m="1" x="64"/>
        <item m="1" x="128"/>
        <item m="1" x="23"/>
        <item m="1" x="86"/>
        <item m="1" x="150"/>
        <item m="1" x="46"/>
        <item m="1" x="110"/>
        <item m="1" x="5"/>
        <item m="1" x="69"/>
        <item m="1" x="102"/>
        <item m="1" x="166"/>
        <item m="1" x="62"/>
        <item m="1" x="126"/>
        <item m="1" x="21"/>
        <item m="1" x="84"/>
        <item m="1" x="149"/>
        <item m="1" x="44"/>
        <item m="1" x="108"/>
        <item m="1" x="3"/>
        <item m="1" x="35"/>
        <item m="1" x="98"/>
        <item m="1" x="163"/>
        <item m="1" x="59"/>
        <item m="1" x="123"/>
        <item m="1" x="18"/>
        <item m="1" x="82"/>
        <item m="1" x="146"/>
        <item m="1" x="42"/>
        <item m="1" x="106"/>
        <item m="1" x="137"/>
        <item t="default"/>
      </items>
    </pivotField>
    <pivotField numFmtId="164" showAll="0"/>
    <pivotField axis="axisRow" showAll="0">
      <items count="58">
        <item m="1" x="4"/>
        <item m="1" x="54"/>
        <item m="1" x="33"/>
        <item m="1" x="20"/>
        <item m="1" x="23"/>
        <item m="1" x="37"/>
        <item m="1" x="10"/>
        <item m="1" x="46"/>
        <item m="1" x="25"/>
        <item m="1" x="3"/>
        <item m="1" x="8"/>
        <item m="1" x="5"/>
        <item m="1" x="42"/>
        <item m="1" x="18"/>
        <item m="1" x="36"/>
        <item m="1" x="21"/>
        <item m="1" x="34"/>
        <item m="1" x="43"/>
        <item m="1" x="7"/>
        <item m="1" x="17"/>
        <item m="1" x="26"/>
        <item m="1" x="15"/>
        <item x="0"/>
        <item m="1" x="19"/>
        <item m="1" x="49"/>
        <item m="1" x="48"/>
        <item m="1" x="14"/>
        <item m="1" x="35"/>
        <item m="1" x="52"/>
        <item m="1" x="32"/>
        <item m="1" x="13"/>
        <item m="1" x="39"/>
        <item m="1" x="56"/>
        <item m="1" x="55"/>
        <item m="1" x="28"/>
        <item m="1" x="6"/>
        <item m="1" x="1"/>
        <item m="1" x="44"/>
        <item m="1" x="9"/>
        <item m="1" x="47"/>
        <item m="1" x="31"/>
        <item m="1" x="22"/>
        <item m="1" x="40"/>
        <item m="1" x="2"/>
        <item m="1" x="12"/>
        <item m="1" x="53"/>
        <item m="1" x="11"/>
        <item m="1" x="45"/>
        <item m="1" x="38"/>
        <item m="1" x="16"/>
        <item m="1" x="51"/>
        <item m="1" x="41"/>
        <item m="1" x="24"/>
        <item m="1" x="50"/>
        <item m="1" x="30"/>
        <item m="1" x="29"/>
        <item m="1" x="27"/>
        <item t="default"/>
      </items>
    </pivotField>
    <pivotField showAll="0"/>
    <pivotField dataField="1" numFmtId="43" showAll="0"/>
    <pivotField numFmtId="4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0"/>
        <item m="1" x="3"/>
        <item m="1" x="1"/>
        <item m="1" x="2"/>
        <item m="1" x="4"/>
        <item t="default"/>
      </items>
    </pivotField>
    <pivotField showAll="0"/>
    <pivotField showAll="0"/>
    <pivotField showAll="0" defaultSubtotal="0"/>
    <pivotField numFmtId="167" showAll="0" defaultSubtotal="0"/>
    <pivotField showAll="0" defaultSubtotal="0"/>
    <pivotField showAll="0" defaultSubtotal="0"/>
    <pivotField numFmtId="164" showAll="0" defaultSubtotal="0"/>
  </pivotFields>
  <rowFields count="2">
    <field x="2"/>
    <field x="0"/>
  </rowFields>
  <rowItems count="3">
    <i>
      <x v="22"/>
    </i>
    <i r="1">
      <x/>
    </i>
    <i t="grand">
      <x/>
    </i>
  </rowItems>
  <colItems count="1">
    <i/>
  </colItems>
  <pageFields count="1">
    <pageField fld="27" item="0" hier="-1"/>
  </pageFields>
  <dataFields count="1">
    <dataField name="TTC " fld="4" baseField="0" baseItem="0"/>
  </dataFields>
  <formats count="1"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7" name="Tableau7" displayName="Tableau7" ref="A2:AW6" totalsRowShown="0" headerRowDxfId="224" dataDxfId="222" headerRowBorderDxfId="223" tableBorderDxfId="221" totalsRowBorderDxfId="220">
  <autoFilter ref="A2:AW6">
    <filterColumn colId="1"/>
    <filterColumn colId="3"/>
    <filterColumn colId="6"/>
    <filterColumn colId="10"/>
    <filterColumn colId="22"/>
    <filterColumn colId="29"/>
    <filterColumn colId="30"/>
    <filterColumn colId="31"/>
    <filterColumn colId="32"/>
    <filterColumn colId="33"/>
    <filterColumn colId="37"/>
    <filterColumn colId="38"/>
    <filterColumn colId="39"/>
    <filterColumn colId="40"/>
    <filterColumn colId="41"/>
    <filterColumn colId="42"/>
    <filterColumn colId="43"/>
    <filterColumn colId="44"/>
    <filterColumn colId="45"/>
    <filterColumn colId="46"/>
    <filterColumn colId="47"/>
    <filterColumn colId="48"/>
  </autoFilter>
  <sortState ref="A3:AP198">
    <sortCondition ref="A2:A198"/>
  </sortState>
  <tableColumns count="49">
    <tableColumn id="1" name="FACTURE _x000a_NUMERO" dataDxfId="219"/>
    <tableColumn id="2" name="DATE" dataDxfId="218"/>
    <tableColumn id="3" name="n° Client" dataDxfId="217"/>
    <tableColumn id="4" name="CLIENT" dataDxfId="216"/>
    <tableColumn id="5" name="TTC" dataDxfId="215"/>
    <tableColumn id="6" name="HT" dataDxfId="214"/>
    <tableColumn id="46" name="TVA_x000a_5,5 %" dataDxfId="213"/>
    <tableColumn id="8" name="TVA_x000a_7 %" dataDxfId="212"/>
    <tableColumn id="9" name="TVA_x000a_10 %" dataDxfId="211"/>
    <tableColumn id="10" name="TVA_x000a_20 %" dataDxfId="210"/>
    <tableColumn id="44" name="Immobilisation" dataDxfId="209"/>
    <tableColumn id="12" name="Fromage de chèvre" dataDxfId="208"/>
    <tableColumn id="13" name="Fromage de vache" dataDxfId="207"/>
    <tableColumn id="14" name="Tomme du Piqueberle" dataDxfId="206"/>
    <tableColumn id="15" name="Fourme" dataDxfId="205"/>
    <tableColumn id="16" name="Pot à l'huile" dataDxfId="204"/>
    <tableColumn id="17" name="Confiture de Lait" dataDxfId="203"/>
    <tableColumn id="18" name="Confiture de chataigne" dataDxfId="202"/>
    <tableColumn id="19" name="Veau" dataDxfId="201"/>
    <tableColumn id="20" name="Porc" dataDxfId="200"/>
    <tableColumn id="21" name="Chevreau" dataDxfId="199"/>
    <tableColumn id="22" name="Autres 3.8" dataDxfId="198"/>
    <tableColumn id="11" name="Autres 4.50" dataDxfId="197"/>
    <tableColumn id="23" name="Sac bretelle" dataDxfId="196"/>
    <tableColumn id="24" name="Sac jute naturel" dataDxfId="195"/>
    <tableColumn id="25" name="Caprin" dataDxfId="194"/>
    <tableColumn id="26" name="Bovin" dataDxfId="193"/>
    <tableColumn id="27" name="Chataigne" dataDxfId="192"/>
    <tableColumn id="28" name="Raisin" dataDxfId="191"/>
    <tableColumn id="7" name="FOIN" dataDxfId="190"/>
    <tableColumn id="49" name="Miel 500g" dataDxfId="189"/>
    <tableColumn id="48" name="Miel 1kg" dataDxfId="188"/>
    <tableColumn id="50" name="Autres" dataDxfId="187"/>
    <tableColumn id="29" name="Paiement" dataDxfId="186"/>
    <tableColumn id="30" name="NUMERO" dataDxfId="185"/>
    <tableColumn id="31" name="RETIRE" dataDxfId="184"/>
    <tableColumn id="32" name="Taux TVA" dataDxfId="183">
      <calculatedColumnFormula>INDEX(ListeDesTaux,1,MATCH(LARGE(G3:J3,1),G3:J3,0))</calculatedColumnFormula>
    </tableColumn>
    <tableColumn id="33" name="MOIS" dataDxfId="182">
      <calculatedColumnFormula>MONTH(Tableau7[[#This Row],[DATE]])</calculatedColumnFormula>
    </tableColumn>
    <tableColumn id="34" name="FACTURE" dataDxfId="181">
      <calculatedColumnFormula>Tableau7[[#This Row],[FACTURE 
NUMERO]]</calculatedColumnFormula>
    </tableColumn>
    <tableColumn id="40" name="Statut" dataDxfId="180">
      <calculatedColumnFormula>IF($AH3="",IF($AS3&lt;0,"","Relancer"))</calculatedColumnFormula>
    </tableColumn>
    <tableColumn id="35" name="MONTANT TTC" dataDxfId="179">
      <calculatedColumnFormula>Tableau7[[#This Row],[TTC]]</calculatedColumnFormula>
    </tableColumn>
    <tableColumn id="36" name="CLIENTS" dataDxfId="178">
      <calculatedColumnFormula>Tableau7[[#This Row],[CLIENT]]</calculatedColumnFormula>
    </tableColumn>
    <tableColumn id="37" name="DATE " dataDxfId="177">
      <calculatedColumnFormula>Tableau7[[#This Row],[DATE]]</calculatedColumnFormula>
    </tableColumn>
    <tableColumn id="38" name="ECHEANCE" dataDxfId="176">
      <calculatedColumnFormula>EOMONTH(AQ3+30,0)</calculatedColumnFormula>
    </tableColumn>
    <tableColumn id="39" name="RETARD" dataDxfId="175">
      <calculatedColumnFormula>IF(AH3="",$AO$1-$AR3,"Soldé")</calculatedColumnFormula>
    </tableColumn>
    <tableColumn id="41" name="1ere RELANCE" dataDxfId="174"/>
    <tableColumn id="42" name="2ème RELANCE" dataDxfId="173"/>
    <tableColumn id="45" name="3ème RELANCE" dataDxfId="172"/>
    <tableColumn id="47" name="4ème RELANCE" dataDxfId="17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Tableau24" displayName="Tableau24" ref="A2:AI3" totalsRowShown="0" headerRowDxfId="170" dataDxfId="168" headerRowBorderDxfId="169" tableBorderDxfId="167" totalsRowBorderDxfId="166">
  <autoFilter ref="A2:AI3">
    <filterColumn colId="0"/>
    <filterColumn colId="1"/>
    <filterColumn colId="2"/>
    <filterColumn colId="27"/>
    <filterColumn colId="30"/>
    <filterColumn colId="31"/>
    <filterColumn colId="32"/>
    <filterColumn colId="33"/>
    <filterColumn colId="34"/>
  </autoFilter>
  <sortState ref="A3:AH179">
    <sortCondition ref="A2:A179"/>
  </sortState>
  <tableColumns count="35">
    <tableColumn id="1" name="FACTURE_x000a_NUMERO" dataDxfId="165" totalsRowDxfId="164"/>
    <tableColumn id="2" name="DATE" dataDxfId="163" totalsRowDxfId="162"/>
    <tableColumn id="3" name="FOURNISSEURS" dataDxfId="161" totalsRowDxfId="160"/>
    <tableColumn id="4" name="LIBELLES" dataDxfId="159" totalsRowDxfId="158"/>
    <tableColumn id="5" name="TTC" dataDxfId="157" totalsRowDxfId="156" dataCellStyle="Milliers"/>
    <tableColumn id="6" name="HT" dataDxfId="155" totalsRowDxfId="154" dataCellStyle="Milliers"/>
    <tableColumn id="7" name="TVA_x000a_1 %" dataDxfId="153" totalsRowDxfId="152" dataCellStyle="Milliers"/>
    <tableColumn id="8" name="TVA_x000a_5,5 %" dataDxfId="151" totalsRowDxfId="150" dataCellStyle="Milliers"/>
    <tableColumn id="9" name="TVA_x000a_7 %" dataDxfId="149" totalsRowDxfId="148" dataCellStyle="Milliers"/>
    <tableColumn id="10" name="TVA_x000a_10 %" dataDxfId="147" totalsRowDxfId="146" dataCellStyle="Milliers"/>
    <tableColumn id="11" name="TVA_x000a_20 %" dataDxfId="145" totalsRowDxfId="144" dataCellStyle="Milliers"/>
    <tableColumn id="12" name="TVA IMMO_x000a_20 %" dataDxfId="143" totalsRowDxfId="142" dataCellStyle="Milliers"/>
    <tableColumn id="13" name="Immobilisations" dataDxfId="141" totalsRowDxfId="140" dataCellStyle="Milliers"/>
    <tableColumn id="14" name="Animaux" dataDxfId="139" totalsRowDxfId="138" dataCellStyle="Milliers"/>
    <tableColumn id="15" name="Engrais" dataDxfId="137" totalsRowDxfId="136" dataCellStyle="Milliers"/>
    <tableColumn id="16" name="Semences et _x000a_plants" dataDxfId="135" totalsRowDxfId="134" dataCellStyle="Milliers"/>
    <tableColumn id="17" name="Produits de_x000a_défense végétaux" dataDxfId="133" totalsRowDxfId="132" dataCellStyle="Milliers"/>
    <tableColumn id="18" name="Aliments_x000a_ animaux" dataDxfId="131" totalsRowDxfId="130" dataCellStyle="Milliers"/>
    <tableColumn id="19" name="Fournitures_x000a_ANIMAUX_x000a_PAILLE/FOIN" dataDxfId="129" totalsRowDxfId="128" dataCellStyle="Milliers"/>
    <tableColumn id="20" name="Produits_x000a_vétérinaires" dataDxfId="127" totalsRowDxfId="126" dataCellStyle="Milliers"/>
    <tableColumn id="21" name="Prestations animaux" dataDxfId="125" totalsRowDxfId="124" dataCellStyle="Milliers"/>
    <tableColumn id="22" name="Autres produits et_x000a_prestations" dataDxfId="123" totalsRowDxfId="122" dataCellStyle="Milliers"/>
    <tableColumn id="23" name="Carburant_x000a_fioul" dataDxfId="121" totalsRowDxfId="120" dataCellStyle="Milliers"/>
    <tableColumn id="24" name="Autres biens et _x000a_marchandises" dataDxfId="119" totalsRowDxfId="118" dataCellStyle="Milliers"/>
    <tableColumn id="25" name="Fournitures_x000a_BUREAU" dataDxfId="117" totalsRowDxfId="116" dataCellStyle="Milliers"/>
    <tableColumn id="26" name="Fournitures_x000a_FROMAGERIE" dataDxfId="115" totalsRowDxfId="114" dataCellStyle="Milliers"/>
    <tableColumn id="27" name="Entretien_x000a_réparation" dataDxfId="113" totalsRowDxfId="112" dataCellStyle="Milliers"/>
    <tableColumn id="28" name="MODE" dataDxfId="111" totalsRowDxfId="110"/>
    <tableColumn id="29" name="NUMERO" dataDxfId="109" totalsRowDxfId="108"/>
    <tableColumn id="30" name="RETIRE" dataDxfId="107" totalsRowDxfId="106"/>
    <tableColumn id="31" name="MOIS" dataDxfId="105" totalsRowDxfId="104">
      <calculatedColumnFormula>MONTH(Tableau24[[#This Row],[DATE]])</calculatedColumnFormula>
    </tableColumn>
    <tableColumn id="32" name="MONTANT" dataDxfId="103" totalsRowDxfId="102">
      <calculatedColumnFormula>Tableau24[[#This Row],[TTC]]</calculatedColumnFormula>
    </tableColumn>
    <tableColumn id="33" name="FOURNISSEURS " dataDxfId="101" totalsRowDxfId="100">
      <calculatedColumnFormula>Tableau24[[#This Row],[FOURNISSEURS]]</calculatedColumnFormula>
    </tableColumn>
    <tableColumn id="34" name="FACTURE " dataDxfId="99" totalsRowDxfId="98">
      <calculatedColumnFormula>Tableau24[[#This Row],[FACTURE
NUMERO]]</calculatedColumnFormula>
    </tableColumn>
    <tableColumn id="35" name="DATE " dataDxfId="97">
      <calculatedColumnFormula>Tableau24[[#This Row],[DATE]]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4" name="Tableau12" displayName="Tableau12" ref="A2:AE3" totalsRowShown="0" headerRowDxfId="96" tableBorderDxfId="95">
  <autoFilter ref="A2:AE3">
    <filterColumn colId="0"/>
    <filterColumn colId="16"/>
    <filterColumn colId="27"/>
    <filterColumn colId="28"/>
    <filterColumn colId="29"/>
    <filterColumn colId="30"/>
  </autoFilter>
  <sortState ref="A3:AC64">
    <sortCondition ref="A2:A64"/>
  </sortState>
  <tableColumns count="31">
    <tableColumn id="1" name="NUMERO_x000a_FACTURE" dataDxfId="94"/>
    <tableColumn id="2" name="DATE" dataDxfId="93"/>
    <tableColumn id="3" name="FOURNISSEURS" dataDxfId="92"/>
    <tableColumn id="4" name="LIBELLES" dataDxfId="91"/>
    <tableColumn id="5" name="Factures_x000a_ss TVA" dataDxfId="90" dataCellStyle="Milliers"/>
    <tableColumn id="6" name="GROUPAMA_x000a_Assurances" dataDxfId="89" dataCellStyle="Milliers"/>
    <tableColumn id="7" name="TVA" dataDxfId="88" dataCellStyle="Milliers"/>
    <tableColumn id="8" name="IMPOT" dataDxfId="87" dataCellStyle="Milliers"/>
    <tableColumn id="9" name="Crédit_x000a_agricole" dataDxfId="86" dataCellStyle="Milliers"/>
    <tableColumn id="10" name="MSA_x000a_GAEC" dataDxfId="85" dataCellStyle="Milliers"/>
    <tableColumn id="11" name="MSA_x000a_FLORENT" dataDxfId="84" dataCellStyle="Milliers"/>
    <tableColumn id="12" name="MSA_x000a_VIRGINIE" dataDxfId="83" dataCellStyle="Milliers"/>
    <tableColumn id="13" name="SALAIRES_x000a_TESA" dataDxfId="82" dataCellStyle="Milliers"/>
    <tableColumn id="14" name="SALAIRES_x000a_Permanents" dataDxfId="81" dataCellStyle="Milliers"/>
    <tableColumn id="15" name="SALAIRES_x000a_Gérants" dataDxfId="80" dataCellStyle="Milliers"/>
    <tableColumn id="16" name="Fermages" dataDxfId="79" dataCellStyle="Milliers"/>
    <tableColumn id="31" name="FACTURES_x000a_VENTE_x000a_SS TVA" dataDxfId="78" dataCellStyle="Milliers"/>
    <tableColumn id="17" name="Avoirs" dataDxfId="77" dataCellStyle="Milliers"/>
    <tableColumn id="18" name="GROUPAMA_x000a_Subventions" dataDxfId="76" dataCellStyle="Milliers"/>
    <tableColumn id="19" name="Autres_x000a_subventions" dataDxfId="75" dataCellStyle="Milliers"/>
    <tableColumn id="20" name="SYNDICAT_x000a_VIGNERONS" dataDxfId="74" dataCellStyle="Milliers"/>
    <tableColumn id="21" name="TVA_x000a_REMBOURSEMENT" dataDxfId="73" dataCellStyle="Milliers"/>
    <tableColumn id="22" name="REMISES_x000a_AUTRES" dataDxfId="72" dataCellStyle="Milliers"/>
    <tableColumn id="23" name="PAC" dataDxfId="71" dataCellStyle="Milliers"/>
    <tableColumn id="24" name="MODE" dataDxfId="70"/>
    <tableColumn id="25" name="REMISE" dataDxfId="69"/>
    <tableColumn id="26" name="RETIRE" dataDxfId="68" dataCellStyle="Milliers"/>
    <tableColumn id="27" name="TTC" dataDxfId="67">
      <calculatedColumnFormula>SUM(Tableau12[[#This Row],[Factures
ss TVA]:[PAC]])</calculatedColumnFormula>
    </tableColumn>
    <tableColumn id="28" name="FACTURE" dataDxfId="66">
      <calculatedColumnFormula>Tableau12[[#This Row],[NUMERO
FACTURE]]</calculatedColumnFormula>
    </tableColumn>
    <tableColumn id="29" name="FOURNISSEURS2" dataDxfId="65">
      <calculatedColumnFormula>Tableau12[[#This Row],[FOURNISSEURS]]</calculatedColumnFormula>
    </tableColumn>
    <tableColumn id="30" name="FOURNISSEURS3" dataDxfId="64">
      <calculatedColumnFormula>Tableau12[[#This Row],[LIBELLES]]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5" name="Tableau9" displayName="Tableau9" ref="A2:G44" totalsRowShown="0" headerRowDxfId="63" dataDxfId="61" totalsRowDxfId="59" headerRowBorderDxfId="62" tableBorderDxfId="60" totalsRowBorderDxfId="58">
  <autoFilter ref="A2:G44"/>
  <sortState ref="A3:G47">
    <sortCondition ref="B2:B47"/>
  </sortState>
  <tableColumns count="7">
    <tableColumn id="1" name="FACTURE" dataDxfId="57"/>
    <tableColumn id="2" name="DATE" dataDxfId="56"/>
    <tableColumn id="3" name="LIBELLES" dataDxfId="55"/>
    <tableColumn id="4" name="ordre" dataDxfId="54"/>
    <tableColumn id="5" name="DEBIT" dataDxfId="7"/>
    <tableColumn id="6" name="CREDIT" dataDxfId="53"/>
    <tableColumn id="7" name="solde" dataDxfId="52">
      <calculatedColumnFormula>IF(E3=33,H1+F3,H1-E3)</calculatedColumnFormula>
    </tableColumn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6" name="Tableau8" displayName="Tableau8" ref="A1:D12" totalsRowShown="0" headerRowDxfId="51" dataDxfId="49" headerRowBorderDxfId="50" tableBorderDxfId="48" totalsRowBorderDxfId="47">
  <autoFilter ref="A1:D12"/>
  <tableColumns count="4">
    <tableColumn id="1" name="DATE" dataDxfId="46"/>
    <tableColumn id="2" name="N°DEPOT" dataDxfId="45"/>
    <tableColumn id="3" name="LIBELLES" dataDxfId="44"/>
    <tableColumn id="4" name="TTC" dataDxfId="4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" name="Tableau2" displayName="Tableau2" ref="A1:D24" totalsRowShown="0" headerRowDxfId="42" headerRowBorderDxfId="41" tableBorderDxfId="40" totalsRowBorderDxfId="39">
  <autoFilter ref="A1:D24"/>
  <tableColumns count="4">
    <tableColumn id="1" name="Produits" dataDxfId="38"/>
    <tableColumn id="2" name="ht" dataDxfId="37"/>
    <tableColumn id="3" name="tva" dataDxfId="36"/>
    <tableColumn id="4" name="Unité" dataDxfId="35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2" name="Tableau3" displayName="Tableau3" ref="A2:M4" totalsRowShown="0" headerRowDxfId="24" dataDxfId="23">
  <autoFilter ref="A2:M4"/>
  <tableColumns count="13">
    <tableColumn id="1" name="CODE" dataDxfId="22"/>
    <tableColumn id="2" name="ENTREPRISE" dataDxfId="21"/>
    <tableColumn id="3" name="NOM" dataDxfId="20"/>
    <tableColumn id="4" name="PRENOM" dataDxfId="19"/>
    <tableColumn id="5" name="ADRESSE" dataDxfId="18"/>
    <tableColumn id="6" name="CP" dataDxfId="17"/>
    <tableColumn id="7" name="VILLE" dataDxfId="16"/>
    <tableColumn id="8" name="TELEPHONE" dataDxfId="15"/>
    <tableColumn id="9" name="EMAIL" dataDxfId="14"/>
    <tableColumn id="10" name="Nbre Facture" dataDxfId="13">
      <calculatedColumnFormula>COUNTIF(VE!D:D,B3)</calculatedColumnFormula>
    </tableColumn>
    <tableColumn id="11" name="MONTANT Facture" dataDxfId="12">
      <calculatedColumnFormula>SUMIF(VE!D:D,B3,VE!E:E)</calculatedColumnFormula>
    </tableColumn>
    <tableColumn id="12" name="IDENTIFIANT" dataDxfId="11">
      <calculatedColumnFormula>CLIENTS!$B3</calculatedColumnFormula>
    </tableColumn>
    <tableColumn id="13" name="mois" dataDxfId="1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B1:U33"/>
  <sheetViews>
    <sheetView showGridLines="0" tabSelected="1" zoomScale="90" zoomScaleNormal="90" workbookViewId="0">
      <selection activeCell="W25" sqref="W25"/>
    </sheetView>
  </sheetViews>
  <sheetFormatPr baseColWidth="10" defaultRowHeight="13.5" customHeight="1"/>
  <cols>
    <col min="1" max="1" width="1.7109375" style="133" customWidth="1"/>
    <col min="2" max="2" width="18.5703125" style="133" customWidth="1"/>
    <col min="3" max="3" width="18.85546875" style="133" customWidth="1"/>
    <col min="4" max="4" width="1.5703125" style="133" customWidth="1"/>
    <col min="5" max="5" width="4.7109375" style="133" customWidth="1"/>
    <col min="6" max="6" width="19.28515625" style="133" customWidth="1"/>
    <col min="7" max="7" width="10.140625" style="134" customWidth="1"/>
    <col min="8" max="8" width="4.7109375" style="134" customWidth="1"/>
    <col min="9" max="19" width="10.5703125" style="133" customWidth="1"/>
    <col min="20" max="16384" width="11.42578125" style="133"/>
  </cols>
  <sheetData>
    <row r="1" spans="2:21" ht="12.75" customHeight="1"/>
    <row r="2" spans="2:21" ht="18.75" customHeight="1">
      <c r="B2" s="389" t="s">
        <v>228</v>
      </c>
      <c r="C2" s="390"/>
      <c r="D2" s="391"/>
      <c r="F2" s="394" t="s">
        <v>187</v>
      </c>
      <c r="G2" s="395"/>
      <c r="I2" s="153"/>
      <c r="J2" s="153">
        <v>1</v>
      </c>
      <c r="K2" s="153">
        <v>2</v>
      </c>
      <c r="L2" s="153">
        <v>3</v>
      </c>
      <c r="M2" s="153">
        <v>4</v>
      </c>
      <c r="N2" s="153">
        <v>5</v>
      </c>
      <c r="O2" s="153">
        <v>6</v>
      </c>
      <c r="P2" s="153">
        <v>7</v>
      </c>
      <c r="Q2" s="153">
        <v>8</v>
      </c>
      <c r="R2" s="153">
        <v>9</v>
      </c>
      <c r="S2" s="153">
        <v>10</v>
      </c>
      <c r="T2" s="153">
        <v>11</v>
      </c>
      <c r="U2" s="153">
        <v>12</v>
      </c>
    </row>
    <row r="3" spans="2:21" ht="13.5" customHeight="1">
      <c r="B3" s="141" t="s">
        <v>231</v>
      </c>
      <c r="C3" s="142"/>
      <c r="D3" s="143">
        <f>COUNTIF(CODE,C3)</f>
        <v>0</v>
      </c>
      <c r="F3" s="396" t="s">
        <v>196</v>
      </c>
      <c r="G3" s="397"/>
      <c r="H3" s="135"/>
      <c r="I3" s="151" t="s">
        <v>226</v>
      </c>
      <c r="J3" s="130" t="s">
        <v>204</v>
      </c>
      <c r="K3" s="130" t="s">
        <v>205</v>
      </c>
      <c r="L3" s="130" t="s">
        <v>206</v>
      </c>
      <c r="M3" s="130" t="s">
        <v>207</v>
      </c>
      <c r="N3" s="130" t="s">
        <v>208</v>
      </c>
      <c r="O3" s="130" t="s">
        <v>209</v>
      </c>
      <c r="P3" s="130" t="s">
        <v>210</v>
      </c>
      <c r="Q3" s="130" t="s">
        <v>211</v>
      </c>
      <c r="R3" s="130" t="s">
        <v>212</v>
      </c>
      <c r="S3" s="130" t="s">
        <v>213</v>
      </c>
      <c r="T3" s="130" t="s">
        <v>214</v>
      </c>
      <c r="U3" s="130" t="s">
        <v>215</v>
      </c>
    </row>
    <row r="4" spans="2:21" ht="15.75" customHeight="1">
      <c r="B4" s="141" t="s">
        <v>232</v>
      </c>
      <c r="C4" s="166"/>
      <c r="D4" s="143">
        <f>COUNTIF(CLIENTS!B:B,C4)</f>
        <v>0</v>
      </c>
      <c r="F4" s="398" t="s">
        <v>188</v>
      </c>
      <c r="G4" s="399"/>
      <c r="H4" s="135"/>
      <c r="I4" s="131" t="s">
        <v>216</v>
      </c>
      <c r="J4" s="152">
        <f>SUMIF(VE!$AJ:$AJ,J2,VE!$E:$E)</f>
        <v>0</v>
      </c>
      <c r="K4" s="152">
        <f>SUMIF(VE!$AJ:$AJ,K2,VE!$E:$E)</f>
        <v>0</v>
      </c>
      <c r="L4" s="152">
        <f>SUMIF(VE!$AJ:$AJ,L2,VE!$E:$E)</f>
        <v>0</v>
      </c>
      <c r="M4" s="152">
        <f>SUMIF(VE!$AJ:$AJ,M2,VE!$E:$E)</f>
        <v>0</v>
      </c>
      <c r="N4" s="152">
        <f>SUMIF(VE!$AJ:$AJ,N2,VE!$E:$E)</f>
        <v>0</v>
      </c>
      <c r="O4" s="152">
        <f>SUMIF(VE!$AJ:$AJ,O2,VE!$E:$E)</f>
        <v>0</v>
      </c>
      <c r="P4" s="152">
        <f>SUMIF(VE!$AJ:$AJ,P2,VE!$E:$E)</f>
        <v>0</v>
      </c>
      <c r="Q4" s="152">
        <f>SUMIF(VE!$AJ:$AJ,Q2,VE!$E:$E)</f>
        <v>0</v>
      </c>
      <c r="R4" s="152">
        <f>SUMIF(VE!$AJ:$AJ,R2,VE!$E:$E)</f>
        <v>0</v>
      </c>
      <c r="S4" s="152">
        <f>SUMIF(VE!$AJ:$AJ,S2,VE!$E:$E)</f>
        <v>0</v>
      </c>
      <c r="T4" s="152">
        <f>SUMIF(VE!$AJ:$AJ,T2,VE!$E:$E)</f>
        <v>0</v>
      </c>
      <c r="U4" s="152">
        <f>SUMIF(VE!$AJ:$AJ,U2,VE!$E:$E)</f>
        <v>0</v>
      </c>
    </row>
    <row r="5" spans="2:21" ht="13.5" customHeight="1">
      <c r="B5" s="141" t="s">
        <v>229</v>
      </c>
      <c r="C5" s="142"/>
      <c r="D5" s="143">
        <f>COUNTIF(CLIENTS!C:C,C5)</f>
        <v>0</v>
      </c>
      <c r="F5" s="398" t="s">
        <v>189</v>
      </c>
      <c r="G5" s="399"/>
      <c r="H5" s="136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2:21" ht="13.5" customHeight="1">
      <c r="B6" s="141" t="s">
        <v>230</v>
      </c>
      <c r="C6" s="142"/>
      <c r="D6" s="143">
        <f>COUNTIF(CLIENTS!D:D,C6)</f>
        <v>0</v>
      </c>
      <c r="F6" s="398" t="s">
        <v>190</v>
      </c>
      <c r="G6" s="399"/>
      <c r="H6" s="136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2:21" ht="13.5" customHeight="1">
      <c r="B7" s="141" t="s">
        <v>233</v>
      </c>
      <c r="C7" s="142"/>
      <c r="D7" s="144"/>
      <c r="F7" s="398" t="s">
        <v>191</v>
      </c>
      <c r="G7" s="399"/>
      <c r="H7" s="138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</row>
    <row r="8" spans="2:21" ht="13.5" customHeight="1">
      <c r="B8" s="145" t="s">
        <v>61</v>
      </c>
      <c r="C8" s="167"/>
      <c r="D8" s="144"/>
      <c r="F8" s="398" t="s">
        <v>192</v>
      </c>
      <c r="G8" s="399"/>
      <c r="H8" s="138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2:21" ht="13.5" customHeight="1">
      <c r="B9" s="141" t="s">
        <v>234</v>
      </c>
      <c r="C9" s="146"/>
      <c r="D9" s="144"/>
      <c r="F9" s="398" t="s">
        <v>193</v>
      </c>
      <c r="G9" s="399"/>
      <c r="H9" s="138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2:21" ht="13.5" customHeight="1">
      <c r="B10" s="141" t="s">
        <v>235</v>
      </c>
      <c r="C10" s="147"/>
      <c r="D10" s="144"/>
      <c r="F10" s="398" t="s">
        <v>194</v>
      </c>
      <c r="G10" s="399"/>
      <c r="H10" s="138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2:21" ht="13.5" customHeight="1">
      <c r="B11" s="400">
        <f>COUNTIF(CLIENTS!B:B,C4)</f>
        <v>0</v>
      </c>
      <c r="C11" s="401"/>
      <c r="D11" s="402"/>
      <c r="F11" s="398" t="s">
        <v>195</v>
      </c>
      <c r="G11" s="399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2:21" ht="13.5" customHeight="1">
      <c r="B12" s="403"/>
      <c r="C12" s="404"/>
      <c r="D12" s="405"/>
      <c r="F12" s="398" t="s">
        <v>217</v>
      </c>
      <c r="G12" s="399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2:21" ht="6" customHeight="1">
      <c r="F13" s="392" t="s">
        <v>218</v>
      </c>
      <c r="G13" s="393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2:21" ht="15.75" customHeight="1">
      <c r="B14" s="387" t="s">
        <v>219</v>
      </c>
      <c r="C14" s="387"/>
      <c r="D14" s="387"/>
      <c r="F14" s="392"/>
      <c r="G14" s="393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</row>
    <row r="15" spans="2:21" ht="15.75" customHeight="1">
      <c r="B15" s="148" t="s">
        <v>197</v>
      </c>
      <c r="C15" s="380">
        <f>MAX(CLIENTS!K:K)</f>
        <v>784.3</v>
      </c>
      <c r="D15" s="380"/>
      <c r="F15" s="398" t="s">
        <v>16</v>
      </c>
      <c r="G15" s="399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</row>
    <row r="16" spans="2:21" s="139" customFormat="1" ht="15.75" customHeight="1">
      <c r="B16" s="148" t="s">
        <v>198</v>
      </c>
      <c r="C16" s="388">
        <f>VLOOKUP(C15,CLIENTS!K:L,2,0)</f>
        <v>0</v>
      </c>
      <c r="D16" s="388"/>
      <c r="F16" s="385" t="s">
        <v>237</v>
      </c>
      <c r="G16" s="386"/>
      <c r="H16" s="140"/>
      <c r="I16" s="154"/>
      <c r="J16" s="154">
        <v>1</v>
      </c>
      <c r="K16" s="154">
        <v>2</v>
      </c>
      <c r="L16" s="154">
        <v>3</v>
      </c>
      <c r="M16" s="154">
        <v>4</v>
      </c>
      <c r="N16" s="154">
        <v>5</v>
      </c>
      <c r="O16" s="154">
        <v>6</v>
      </c>
      <c r="P16" s="154">
        <v>7</v>
      </c>
      <c r="Q16" s="154">
        <v>8</v>
      </c>
      <c r="R16" s="154">
        <v>9</v>
      </c>
      <c r="S16" s="154">
        <v>10</v>
      </c>
      <c r="T16" s="154">
        <v>11</v>
      </c>
      <c r="U16" s="154">
        <v>12</v>
      </c>
    </row>
    <row r="17" spans="2:21" s="139" customFormat="1" ht="15.75" customHeight="1">
      <c r="B17" s="148" t="s">
        <v>199</v>
      </c>
      <c r="C17" s="380">
        <f>MIN(VE!E:E)</f>
        <v>110</v>
      </c>
      <c r="D17" s="380"/>
      <c r="F17" s="385" t="s">
        <v>238</v>
      </c>
      <c r="G17" s="386"/>
      <c r="H17" s="140"/>
      <c r="I17" s="155" t="s">
        <v>227</v>
      </c>
      <c r="J17" s="130" t="s">
        <v>204</v>
      </c>
      <c r="K17" s="130" t="s">
        <v>205</v>
      </c>
      <c r="L17" s="130" t="s">
        <v>206</v>
      </c>
      <c r="M17" s="130" t="s">
        <v>207</v>
      </c>
      <c r="N17" s="130" t="s">
        <v>208</v>
      </c>
      <c r="O17" s="130" t="s">
        <v>209</v>
      </c>
      <c r="P17" s="130" t="s">
        <v>210</v>
      </c>
      <c r="Q17" s="130" t="s">
        <v>211</v>
      </c>
      <c r="R17" s="130" t="s">
        <v>212</v>
      </c>
      <c r="S17" s="130" t="s">
        <v>213</v>
      </c>
      <c r="T17" s="130" t="s">
        <v>214</v>
      </c>
      <c r="U17" s="130" t="s">
        <v>215</v>
      </c>
    </row>
    <row r="18" spans="2:21" s="139" customFormat="1" ht="15.75" customHeight="1">
      <c r="B18" s="148" t="s">
        <v>200</v>
      </c>
      <c r="C18" s="380">
        <f>AVERAGE(VE!E:E)</f>
        <v>313.71999999999997</v>
      </c>
      <c r="D18" s="380"/>
      <c r="F18" s="385" t="s">
        <v>239</v>
      </c>
      <c r="G18" s="386"/>
      <c r="H18" s="140"/>
      <c r="I18" s="130" t="s">
        <v>216</v>
      </c>
      <c r="J18" s="152">
        <f>SUMIF(AC!$AE:$AE,J16,AC!$E:$E)</f>
        <v>29.9</v>
      </c>
      <c r="K18" s="152">
        <f>SUMIF(AC!$AE:$AE,K16,AC!$E:$E)</f>
        <v>0</v>
      </c>
      <c r="L18" s="152">
        <f>SUMIF(AC!$AE:$AE,L16,AC!$E:$E)</f>
        <v>0</v>
      </c>
      <c r="M18" s="152">
        <f>SUMIF(AC!$AE:$AE,M16,AC!$E:$E)</f>
        <v>0</v>
      </c>
      <c r="N18" s="152">
        <f>SUMIF(AC!$AE:$AE,N16,AC!$E:$E)</f>
        <v>0</v>
      </c>
      <c r="O18" s="152">
        <f>SUMIF(AC!$AE:$AE,O16,AC!$E:$E)</f>
        <v>0</v>
      </c>
      <c r="P18" s="152">
        <f>SUMIF(AC!$AE:$AE,P16,AC!$E:$E)</f>
        <v>0</v>
      </c>
      <c r="Q18" s="152">
        <f>SUMIF(AC!$AE:$AE,Q16,AC!$E:$E)</f>
        <v>0</v>
      </c>
      <c r="R18" s="152">
        <f>SUMIF(AC!$AE:$AE,R16,AC!$E:$E)</f>
        <v>0</v>
      </c>
      <c r="S18" s="152">
        <f>SUMIF(AC!$AE:$AE,S16,AC!$E:$E)</f>
        <v>0</v>
      </c>
      <c r="T18" s="152">
        <f>SUMIF(AC!$AE:$AE,T16,AC!$E:$E)</f>
        <v>0</v>
      </c>
      <c r="U18" s="152">
        <f>SUMIF(AC!$AE:$AE,U16,AC!$E:$E)</f>
        <v>0</v>
      </c>
    </row>
    <row r="19" spans="2:21" s="139" customFormat="1" ht="15.75" customHeight="1">
      <c r="B19" s="148" t="s">
        <v>201</v>
      </c>
      <c r="C19" s="380">
        <f>MEDIAN(VE!E3:E765)</f>
        <v>196.07499999999999</v>
      </c>
      <c r="D19" s="380"/>
      <c r="F19" s="385" t="s">
        <v>241</v>
      </c>
      <c r="G19" s="386"/>
      <c r="H19" s="140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</row>
    <row r="20" spans="2:21" s="139" customFormat="1" ht="15.75" customHeight="1">
      <c r="B20" s="149" t="s">
        <v>202</v>
      </c>
      <c r="C20" s="381">
        <f>VE!E1</f>
        <v>784.3</v>
      </c>
      <c r="D20" s="381"/>
      <c r="F20" s="385" t="s">
        <v>240</v>
      </c>
      <c r="G20" s="386"/>
      <c r="H20" s="140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spans="2:21" s="139" customFormat="1" ht="15.75" customHeight="1">
      <c r="B21" s="148" t="s">
        <v>203</v>
      </c>
      <c r="C21" s="382">
        <f>COUNT(VE!E3:E765)</f>
        <v>4</v>
      </c>
      <c r="D21" s="382"/>
      <c r="F21" s="385" t="s">
        <v>127</v>
      </c>
      <c r="G21" s="386"/>
      <c r="H21" s="140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</row>
    <row r="22" spans="2:21" s="139" customFormat="1" ht="15.75" customHeight="1">
      <c r="B22" s="150" t="s">
        <v>222</v>
      </c>
      <c r="C22" s="408">
        <f>GETPIVOTDATA("TTC",CREANCES!$A$4)</f>
        <v>282.14999999999998</v>
      </c>
      <c r="D22" s="408"/>
      <c r="F22" s="409"/>
      <c r="G22" s="410"/>
      <c r="H22" s="140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  <row r="23" spans="2:21" s="139" customFormat="1" ht="6" customHeight="1">
      <c r="F23" s="406"/>
      <c r="G23" s="406"/>
      <c r="H23" s="140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2:21" s="139" customFormat="1" ht="15" customHeight="1">
      <c r="B24" s="387" t="s">
        <v>220</v>
      </c>
      <c r="C24" s="387"/>
      <c r="D24" s="387"/>
      <c r="F24" s="407"/>
      <c r="G24" s="407"/>
      <c r="H24" s="140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</row>
    <row r="25" spans="2:21" s="139" customFormat="1" ht="15" customHeight="1">
      <c r="B25" s="148" t="s">
        <v>197</v>
      </c>
      <c r="C25" s="380" t="e">
        <f>MAX(#REF!)</f>
        <v>#REF!</v>
      </c>
      <c r="D25" s="380"/>
      <c r="G25" s="140"/>
      <c r="H25" s="140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</row>
    <row r="26" spans="2:21" s="139" customFormat="1" ht="15" customHeight="1">
      <c r="B26" s="148" t="s">
        <v>221</v>
      </c>
      <c r="C26" s="388" t="e">
        <f>VLOOKUP(C25,#REF!,2,0)</f>
        <v>#REF!</v>
      </c>
      <c r="D26" s="388"/>
      <c r="G26" s="140"/>
      <c r="H26" s="140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2:21" s="139" customFormat="1" ht="15" customHeight="1">
      <c r="B27" s="148" t="s">
        <v>199</v>
      </c>
      <c r="C27" s="380">
        <f>MIN(AC!E:E)</f>
        <v>29.9</v>
      </c>
      <c r="D27" s="380"/>
      <c r="G27" s="140"/>
      <c r="H27" s="140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</row>
    <row r="28" spans="2:21" s="139" customFormat="1" ht="15" customHeight="1">
      <c r="B28" s="148" t="s">
        <v>200</v>
      </c>
      <c r="C28" s="380">
        <f>AVERAGE(AC!E:E)</f>
        <v>29.9</v>
      </c>
      <c r="D28" s="380"/>
      <c r="F28" s="139" t="s">
        <v>285</v>
      </c>
      <c r="G28" s="140"/>
      <c r="H28" s="140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</row>
    <row r="29" spans="2:21" s="139" customFormat="1" ht="15" customHeight="1">
      <c r="B29" s="148" t="s">
        <v>201</v>
      </c>
      <c r="C29" s="380">
        <f>MEDIAN(AC!E3:E930)</f>
        <v>29.9</v>
      </c>
      <c r="D29" s="380"/>
      <c r="G29" s="140"/>
      <c r="H29" s="140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</row>
    <row r="30" spans="2:21" s="139" customFormat="1" ht="15" customHeight="1">
      <c r="B30" s="149" t="s">
        <v>202</v>
      </c>
      <c r="C30" s="381">
        <f>AC!E1</f>
        <v>29.9</v>
      </c>
      <c r="D30" s="381"/>
      <c r="G30" s="140"/>
      <c r="H30" s="140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</row>
    <row r="31" spans="2:21" s="139" customFormat="1" ht="15" customHeight="1">
      <c r="B31" s="148" t="s">
        <v>203</v>
      </c>
      <c r="C31" s="382">
        <f>COUNT(AC!E3:E930)</f>
        <v>1</v>
      </c>
      <c r="D31" s="382"/>
      <c r="G31" s="140"/>
      <c r="H31" s="140"/>
    </row>
    <row r="32" spans="2:21" s="139" customFormat="1" ht="15" customHeight="1">
      <c r="B32" s="150" t="s">
        <v>223</v>
      </c>
      <c r="C32" s="383">
        <f>GETPIVOTDATA("TTC",DETTES!$A$4)</f>
        <v>29.9</v>
      </c>
      <c r="D32" s="384"/>
      <c r="G32" s="140"/>
      <c r="H32" s="140"/>
    </row>
    <row r="33" spans="7:21" s="139" customFormat="1" ht="13.5" customHeight="1">
      <c r="G33" s="140"/>
      <c r="H33" s="140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</sheetData>
  <mergeCells count="42">
    <mergeCell ref="C15:D15"/>
    <mergeCell ref="B11:D12"/>
    <mergeCell ref="F23:G23"/>
    <mergeCell ref="F24:G24"/>
    <mergeCell ref="C21:D21"/>
    <mergeCell ref="C22:D22"/>
    <mergeCell ref="F15:G15"/>
    <mergeCell ref="F18:G18"/>
    <mergeCell ref="F19:G19"/>
    <mergeCell ref="F20:G20"/>
    <mergeCell ref="F21:G21"/>
    <mergeCell ref="F22:G22"/>
    <mergeCell ref="B2:D2"/>
    <mergeCell ref="B14:D14"/>
    <mergeCell ref="F13:G14"/>
    <mergeCell ref="F2:G2"/>
    <mergeCell ref="F3:G3"/>
    <mergeCell ref="F4:G4"/>
    <mergeCell ref="F5:G5"/>
    <mergeCell ref="F6:G6"/>
    <mergeCell ref="F7:G7"/>
    <mergeCell ref="F8:G8"/>
    <mergeCell ref="F12:G12"/>
    <mergeCell ref="F9:G9"/>
    <mergeCell ref="F10:G10"/>
    <mergeCell ref="F11:G11"/>
    <mergeCell ref="C29:D29"/>
    <mergeCell ref="C30:D30"/>
    <mergeCell ref="C31:D31"/>
    <mergeCell ref="C32:D32"/>
    <mergeCell ref="F16:G16"/>
    <mergeCell ref="F17:G17"/>
    <mergeCell ref="B24:D24"/>
    <mergeCell ref="C25:D25"/>
    <mergeCell ref="C26:D26"/>
    <mergeCell ref="C27:D27"/>
    <mergeCell ref="C28:D28"/>
    <mergeCell ref="C16:D16"/>
    <mergeCell ref="C17:D17"/>
    <mergeCell ref="C18:D18"/>
    <mergeCell ref="C19:D19"/>
    <mergeCell ref="C20:D20"/>
  </mergeCells>
  <conditionalFormatting sqref="B11 H3 D3 H5:H6 D5:D6">
    <cfRule type="cellIs" dxfId="2" priority="6" operator="equal">
      <formula>1</formula>
    </cfRule>
  </conditionalFormatting>
  <conditionalFormatting sqref="H4 D4">
    <cfRule type="cellIs" dxfId="1" priority="3" operator="equal">
      <formula>1</formula>
    </cfRule>
    <cfRule type="cellIs" dxfId="0" priority="4" operator="equal">
      <formula>1</formula>
    </cfRule>
  </conditionalFormatting>
  <hyperlinks>
    <hyperlink ref="F3:G3" location="FACTURE!A1" display="Facture"/>
    <hyperlink ref="F4:G4" location="AC!A1" display="Achat"/>
    <hyperlink ref="F5:G5" location="VE!A1" display="Vente"/>
    <hyperlink ref="F6:G6" location="OD!A1" display="Opérations diverses"/>
    <hyperlink ref="F7:G7" location="CAISSE!A1" display="Caisse"/>
    <hyperlink ref="F8:G8" location="BANQUE!A1" display="Banque"/>
    <hyperlink ref="F9:G9" location="'Compte Résultat'!A1" display="Compte de résultat"/>
    <hyperlink ref="F10:G10" location="SYNTHESE!A1" display="Synthèse"/>
    <hyperlink ref="F11:G11" location="'Cerfa TVA'!A1" display="Cerfa TVA"/>
    <hyperlink ref="F12:G12" location="FOURNISSEURS!A1" display="Fournisseurs"/>
    <hyperlink ref="F15:G15" location="PRODUITS!A1" display="Produits"/>
    <hyperlink ref="F16:G16" location="'BILAN OD'!A1" display="Bilan OD"/>
    <hyperlink ref="F17:G17" location="'BILAN AC'!A1" display="Bilan AC"/>
    <hyperlink ref="F18:G18" location="'BILAN VE'!A1" display="Bilan VE"/>
    <hyperlink ref="F19:G19" location="DETTES!A1" display=" Dettes fournisseurs"/>
    <hyperlink ref="F20:G20" location="CREANCES!A1" display="Créances Clients"/>
    <hyperlink ref="F21:G21" location="ESP!A1" display="ESP"/>
    <hyperlink ref="F13:G14" location="CLIENTS" display="Clients"/>
  </hyperlinks>
  <pageMargins left="0.7" right="0.7" top="0.75" bottom="0.75" header="0.3" footer="0.3"/>
  <pageSetup paperSize="9" orientation="portrait" horizontalDpi="4294967294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"/>
  <dimension ref="A1:I59"/>
  <sheetViews>
    <sheetView workbookViewId="0">
      <selection activeCell="A2" sqref="A2"/>
    </sheetView>
  </sheetViews>
  <sheetFormatPr baseColWidth="10" defaultRowHeight="15"/>
  <cols>
    <col min="1" max="1" width="17.7109375" customWidth="1"/>
    <col min="2" max="2" width="8" style="213" customWidth="1"/>
    <col min="3" max="3" width="19.42578125" customWidth="1"/>
    <col min="4" max="4" width="16.140625" customWidth="1"/>
    <col min="5" max="7" width="16.140625" style="180" customWidth="1"/>
    <col min="8" max="8" width="16.140625" style="172" customWidth="1"/>
    <col min="9" max="9" width="16.140625" style="181" customWidth="1"/>
    <col min="10" max="15" width="16.140625" customWidth="1"/>
    <col min="16" max="16" width="23.42578125" customWidth="1"/>
    <col min="17" max="17" width="19.85546875" customWidth="1"/>
    <col min="18" max="18" width="20.5703125" customWidth="1"/>
    <col min="19" max="19" width="23.42578125" customWidth="1"/>
    <col min="20" max="20" width="19.85546875" customWidth="1"/>
    <col min="21" max="21" width="14" bestFit="1" customWidth="1"/>
    <col min="22" max="22" width="23.42578125" customWidth="1"/>
    <col min="23" max="23" width="19.85546875" customWidth="1"/>
    <col min="24" max="24" width="14" customWidth="1"/>
    <col min="25" max="25" width="23.42578125" customWidth="1"/>
    <col min="26" max="26" width="19.85546875" customWidth="1"/>
    <col min="27" max="27" width="26" bestFit="1" customWidth="1"/>
    <col min="28" max="28" width="23.42578125" customWidth="1"/>
    <col min="29" max="29" width="19.85546875" bestFit="1" customWidth="1"/>
    <col min="30" max="30" width="14" customWidth="1"/>
    <col min="31" max="31" width="23.42578125" customWidth="1"/>
    <col min="32" max="32" width="19.85546875" customWidth="1"/>
    <col min="33" max="33" width="23.5703125" bestFit="1" customWidth="1"/>
    <col min="34" max="34" width="23.42578125" customWidth="1"/>
    <col min="35" max="35" width="19.85546875" bestFit="1" customWidth="1"/>
    <col min="36" max="36" width="23.7109375" customWidth="1"/>
    <col min="37" max="37" width="23.42578125" customWidth="1"/>
    <col min="38" max="38" width="19.85546875" customWidth="1"/>
    <col min="39" max="39" width="24.140625" bestFit="1" customWidth="1"/>
    <col min="40" max="40" width="23.42578125" customWidth="1"/>
    <col min="41" max="41" width="19.85546875" customWidth="1"/>
    <col min="42" max="42" width="14" bestFit="1" customWidth="1"/>
    <col min="43" max="43" width="23.42578125" customWidth="1"/>
    <col min="44" max="44" width="19.85546875" bestFit="1" customWidth="1"/>
    <col min="45" max="45" width="22" bestFit="1" customWidth="1"/>
    <col min="46" max="46" width="23.42578125" customWidth="1"/>
    <col min="47" max="47" width="19.85546875" bestFit="1" customWidth="1"/>
    <col min="48" max="48" width="21.28515625" bestFit="1" customWidth="1"/>
    <col min="49" max="49" width="23.42578125" customWidth="1"/>
    <col min="50" max="50" width="19.85546875" bestFit="1" customWidth="1"/>
    <col min="51" max="51" width="14" bestFit="1" customWidth="1"/>
    <col min="52" max="52" width="23.42578125" customWidth="1"/>
    <col min="53" max="53" width="19.85546875" bestFit="1" customWidth="1"/>
    <col min="54" max="54" width="19" bestFit="1" customWidth="1"/>
    <col min="55" max="55" width="28.42578125" customWidth="1"/>
    <col min="56" max="56" width="24.85546875" bestFit="1" customWidth="1"/>
  </cols>
  <sheetData>
    <row r="1" spans="1:4" ht="28.5" customHeight="1">
      <c r="A1" s="483" t="s">
        <v>248</v>
      </c>
      <c r="B1" s="483"/>
      <c r="C1" s="62"/>
      <c r="D1" s="62"/>
    </row>
    <row r="2" spans="1:4">
      <c r="A2" s="214" t="s">
        <v>242</v>
      </c>
      <c r="B2" s="513" t="s">
        <v>126</v>
      </c>
      <c r="C2" s="62"/>
      <c r="D2" s="484" t="s">
        <v>253</v>
      </c>
    </row>
    <row r="3" spans="1:4" ht="5.25" customHeight="1">
      <c r="A3" s="169"/>
      <c r="C3" s="62"/>
      <c r="D3" s="484"/>
    </row>
    <row r="4" spans="1:4" ht="15" customHeight="1">
      <c r="A4" s="218" t="s">
        <v>251</v>
      </c>
      <c r="B4" s="217" t="s">
        <v>252</v>
      </c>
      <c r="D4" s="220"/>
    </row>
    <row r="5" spans="1:4" ht="15" customHeight="1">
      <c r="A5" s="216" t="s">
        <v>291</v>
      </c>
      <c r="B5" s="215">
        <v>282.14999999999998</v>
      </c>
      <c r="D5" s="220"/>
    </row>
    <row r="6" spans="1:4">
      <c r="A6" s="156" t="s">
        <v>178</v>
      </c>
      <c r="B6" s="215">
        <v>282.14999999999998</v>
      </c>
    </row>
    <row r="7" spans="1:4">
      <c r="A7" s="216" t="s">
        <v>168</v>
      </c>
      <c r="B7" s="219">
        <v>282.14999999999998</v>
      </c>
    </row>
    <row r="8" spans="1:4">
      <c r="B8"/>
      <c r="D8" s="22" t="s">
        <v>279</v>
      </c>
    </row>
    <row r="9" spans="1:4">
      <c r="B9"/>
    </row>
    <row r="10" spans="1:4">
      <c r="B10"/>
    </row>
    <row r="11" spans="1:4">
      <c r="B11"/>
    </row>
    <row r="12" spans="1:4">
      <c r="B12"/>
    </row>
    <row r="13" spans="1:4">
      <c r="B13"/>
    </row>
    <row r="14" spans="1:4">
      <c r="B14"/>
    </row>
    <row r="15" spans="1:4">
      <c r="B15"/>
    </row>
    <row r="16" spans="1:4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</sheetData>
  <mergeCells count="2">
    <mergeCell ref="A1:B1"/>
    <mergeCell ref="D2:D3"/>
  </mergeCells>
  <hyperlinks>
    <hyperlink ref="D2:D3" location="VE!A1" display="VENTES"/>
  </hyperlinks>
  <pageMargins left="0.7" right="0.7" top="0.75" bottom="0.75" header="0.3" footer="0.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7"/>
  <dimension ref="A1:D7"/>
  <sheetViews>
    <sheetView workbookViewId="0">
      <selection activeCell="A2" sqref="A2"/>
    </sheetView>
  </sheetViews>
  <sheetFormatPr baseColWidth="10" defaultRowHeight="15"/>
  <cols>
    <col min="1" max="1" width="17.85546875" customWidth="1"/>
    <col min="2" max="2" width="7.140625" customWidth="1"/>
    <col min="3" max="3" width="17.140625" bestFit="1" customWidth="1"/>
  </cols>
  <sheetData>
    <row r="1" spans="1:4" ht="39.75" customHeight="1">
      <c r="A1" s="485" t="s">
        <v>249</v>
      </c>
      <c r="B1" s="485"/>
      <c r="C1" s="1"/>
    </row>
    <row r="2" spans="1:4" s="22" customFormat="1" ht="18" customHeight="1">
      <c r="A2" s="168" t="s">
        <v>147</v>
      </c>
      <c r="B2" s="22" t="s">
        <v>126</v>
      </c>
      <c r="C2" s="207"/>
      <c r="D2" s="221" t="s">
        <v>254</v>
      </c>
    </row>
    <row r="4" spans="1:4">
      <c r="A4" s="168" t="s">
        <v>217</v>
      </c>
      <c r="B4" s="379" t="s">
        <v>250</v>
      </c>
    </row>
    <row r="5" spans="1:4">
      <c r="A5" s="58" t="s">
        <v>177</v>
      </c>
      <c r="B5" s="62">
        <v>29.9</v>
      </c>
    </row>
    <row r="6" spans="1:4">
      <c r="A6" s="55" t="s">
        <v>183</v>
      </c>
      <c r="B6" s="62">
        <v>29.9</v>
      </c>
    </row>
    <row r="7" spans="1:4">
      <c r="A7" s="58" t="s">
        <v>168</v>
      </c>
      <c r="B7" s="62">
        <v>29.9</v>
      </c>
    </row>
  </sheetData>
  <mergeCells count="1">
    <mergeCell ref="A1:B1"/>
  </mergeCells>
  <hyperlinks>
    <hyperlink ref="D2" location="AC!A1" display="ACHATS"/>
  </hyperlinks>
  <pageMargins left="0.7" right="0.7" top="0.75" bottom="0.75" header="0.3" footer="0.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/>
  <dimension ref="A1:M4"/>
  <sheetViews>
    <sheetView showGridLines="0" zoomScale="90" zoomScaleNormal="90" workbookViewId="0">
      <selection activeCell="C14" sqref="C14"/>
    </sheetView>
  </sheetViews>
  <sheetFormatPr baseColWidth="10" defaultRowHeight="15"/>
  <cols>
    <col min="1" max="1" width="11.42578125" style="234"/>
    <col min="2" max="2" width="30.42578125" style="173" customWidth="1"/>
    <col min="3" max="4" width="16.140625" style="173" customWidth="1"/>
    <col min="5" max="5" width="32.5703125" style="173" customWidth="1"/>
    <col min="6" max="6" width="11.42578125" style="235"/>
    <col min="7" max="7" width="25.85546875" style="173" customWidth="1"/>
    <col min="8" max="8" width="18.85546875" style="236" customWidth="1"/>
    <col min="9" max="9" width="35.28515625" style="234" customWidth="1"/>
    <col min="10" max="10" width="14" style="237" customWidth="1"/>
    <col min="11" max="11" width="20.5703125" style="254" customWidth="1"/>
    <col min="12" max="12" width="27.140625" style="173" customWidth="1"/>
    <col min="13" max="13" width="12.7109375" style="234" customWidth="1"/>
    <col min="14" max="16384" width="11.42578125" style="234"/>
  </cols>
  <sheetData>
    <row r="1" spans="1:13" ht="24.75" customHeight="1">
      <c r="K1" s="238">
        <f>SUM(CLIENTS!$K$3:$K$4)</f>
        <v>784.3</v>
      </c>
    </row>
    <row r="2" spans="1:13" s="246" customFormat="1" ht="21.75" customHeight="1">
      <c r="A2" s="239" t="s">
        <v>56</v>
      </c>
      <c r="B2" s="230" t="s">
        <v>57</v>
      </c>
      <c r="C2" s="230" t="s">
        <v>58</v>
      </c>
      <c r="D2" s="230" t="s">
        <v>59</v>
      </c>
      <c r="E2" s="230" t="s">
        <v>60</v>
      </c>
      <c r="F2" s="240" t="s">
        <v>61</v>
      </c>
      <c r="G2" s="230" t="s">
        <v>62</v>
      </c>
      <c r="H2" s="241" t="s">
        <v>63</v>
      </c>
      <c r="I2" s="242" t="s">
        <v>64</v>
      </c>
      <c r="J2" s="243" t="s">
        <v>65</v>
      </c>
      <c r="K2" s="244" t="s">
        <v>66</v>
      </c>
      <c r="L2" s="231" t="s">
        <v>67</v>
      </c>
      <c r="M2" s="245" t="s">
        <v>225</v>
      </c>
    </row>
    <row r="3" spans="1:13">
      <c r="A3" s="247" t="s">
        <v>124</v>
      </c>
      <c r="B3" s="232" t="s">
        <v>291</v>
      </c>
      <c r="C3" s="232" t="s">
        <v>291</v>
      </c>
      <c r="D3" s="232" t="s">
        <v>68</v>
      </c>
      <c r="E3" s="232" t="s">
        <v>69</v>
      </c>
      <c r="F3" s="248">
        <v>7110</v>
      </c>
      <c r="G3" s="232" t="s">
        <v>292</v>
      </c>
      <c r="H3" s="249"/>
      <c r="I3" s="250"/>
      <c r="J3" s="251">
        <f>COUNTIF(VE!D:D,B3)</f>
        <v>2</v>
      </c>
      <c r="K3" s="252">
        <f>SUMIF(VE!D:D,B3,VE!E:E)</f>
        <v>392.15</v>
      </c>
      <c r="L3" s="233" t="str">
        <f>CLIENTS!$B3</f>
        <v>DI PIERRA</v>
      </c>
      <c r="M3" s="253"/>
    </row>
    <row r="4" spans="1:13">
      <c r="A4" s="247" t="s">
        <v>125</v>
      </c>
      <c r="B4" s="232" t="s">
        <v>293</v>
      </c>
      <c r="C4" s="232" t="s">
        <v>293</v>
      </c>
      <c r="D4" s="232" t="s">
        <v>294</v>
      </c>
      <c r="E4" s="232" t="s">
        <v>295</v>
      </c>
      <c r="F4" s="248">
        <v>7110</v>
      </c>
      <c r="G4" s="232" t="s">
        <v>292</v>
      </c>
      <c r="H4" s="249"/>
      <c r="I4" s="250"/>
      <c r="J4" s="251">
        <f>COUNTIF(VE!D:D,B4)</f>
        <v>2</v>
      </c>
      <c r="K4" s="252">
        <f>SUMIF(VE!D:D,B4,VE!E:E)</f>
        <v>392.15</v>
      </c>
      <c r="L4" s="233" t="str">
        <f>CLIENTS!$B4</f>
        <v>MARCO</v>
      </c>
      <c r="M4" s="253"/>
    </row>
  </sheetData>
  <pageMargins left="0.7" right="0.7" top="0.75" bottom="0.75" header="0.3" footer="0.3"/>
  <legacy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5"/>
  <dimension ref="A1:R47"/>
  <sheetViews>
    <sheetView topLeftCell="A19" workbookViewId="0">
      <selection activeCell="V33" sqref="V33"/>
    </sheetView>
  </sheetViews>
  <sheetFormatPr baseColWidth="10" defaultRowHeight="15"/>
  <cols>
    <col min="1" max="1" width="4.28515625" style="22" customWidth="1"/>
    <col min="2" max="12" width="4.85546875" customWidth="1"/>
    <col min="13" max="17" width="7.42578125" customWidth="1"/>
  </cols>
  <sheetData>
    <row r="1" spans="1:18" s="81" customFormat="1" ht="10.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4"/>
    </row>
    <row r="2" spans="1:18" s="321" customFormat="1" ht="10.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4"/>
    </row>
    <row r="3" spans="1:18" s="321" customFormat="1" ht="10.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4"/>
    </row>
    <row r="4" spans="1:18" s="321" customFormat="1" ht="10.5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4"/>
    </row>
    <row r="5" spans="1:18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489" t="s">
        <v>267</v>
      </c>
      <c r="L5" s="489"/>
      <c r="M5" s="489"/>
      <c r="N5" s="490">
        <f ca="1">TODAY()</f>
        <v>43444</v>
      </c>
      <c r="O5" s="491"/>
      <c r="P5" s="491"/>
      <c r="Q5" s="333"/>
      <c r="R5" s="334"/>
    </row>
    <row r="6" spans="1:18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4"/>
    </row>
    <row r="7" spans="1:18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5"/>
      <c r="L7" s="335"/>
      <c r="M7" s="335"/>
      <c r="N7" s="335"/>
      <c r="O7" s="335"/>
      <c r="P7" s="335"/>
      <c r="Q7" s="333"/>
      <c r="R7" s="334"/>
    </row>
    <row r="8" spans="1:18">
      <c r="A8" s="333"/>
      <c r="B8" s="333"/>
      <c r="C8" s="333"/>
      <c r="D8" s="333"/>
      <c r="E8" s="333"/>
      <c r="F8" s="333"/>
      <c r="G8" s="333"/>
      <c r="H8" s="333"/>
      <c r="I8" s="333"/>
      <c r="J8" s="335"/>
      <c r="K8" s="335"/>
      <c r="L8" s="335"/>
      <c r="M8" s="335"/>
      <c r="N8" s="335"/>
      <c r="O8" s="335"/>
      <c r="P8" s="335"/>
      <c r="Q8" s="335"/>
      <c r="R8" s="334"/>
    </row>
    <row r="9" spans="1:18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487" t="s">
        <v>269</v>
      </c>
      <c r="L9" s="487"/>
      <c r="M9" s="488" t="s">
        <v>124</v>
      </c>
      <c r="N9" s="488"/>
      <c r="O9" s="335"/>
      <c r="P9" s="335"/>
      <c r="Q9" s="335"/>
      <c r="R9" s="334"/>
    </row>
    <row r="10" spans="1:18" ht="24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  <c r="K10" s="507" t="str">
        <f>VLOOKUP(M9,CLIENTS!$A$3:$M$4,2,0)</f>
        <v>DI PIERRA</v>
      </c>
      <c r="L10" s="507"/>
      <c r="M10" s="507"/>
      <c r="N10" s="507"/>
      <c r="O10" s="507"/>
      <c r="P10" s="507"/>
      <c r="Q10" s="333"/>
      <c r="R10" s="334"/>
    </row>
    <row r="11" spans="1:18">
      <c r="A11" s="333"/>
      <c r="B11" s="333"/>
      <c r="C11" s="333"/>
      <c r="D11" s="333"/>
      <c r="E11" s="333"/>
      <c r="F11" s="333"/>
      <c r="G11" s="333"/>
      <c r="H11" s="333"/>
      <c r="I11" s="333"/>
      <c r="J11" s="335"/>
      <c r="K11" s="509" t="str">
        <f>VLOOKUP(M9,CLIENTS!A3:M4,3,0)</f>
        <v>DI PIERRA</v>
      </c>
      <c r="L11" s="509"/>
      <c r="M11" s="491" t="str">
        <f>VLOOKUP(M9,CLIENTS!A3:M4,4,0)</f>
        <v>Pascal</v>
      </c>
      <c r="N11" s="491"/>
      <c r="O11" s="491"/>
      <c r="P11" s="491"/>
      <c r="Q11" s="335"/>
      <c r="R11" s="334"/>
    </row>
    <row r="12" spans="1:18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509" t="str">
        <f>VLOOKUP(M9,CLIENTS!A3:M4,5,0)</f>
        <v>Le Fayet</v>
      </c>
      <c r="L12" s="509"/>
      <c r="M12" s="509"/>
      <c r="N12" s="509"/>
      <c r="O12" s="509"/>
      <c r="P12" s="509"/>
      <c r="Q12" s="335"/>
      <c r="R12" s="334"/>
    </row>
    <row r="13" spans="1:18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508">
        <f>VLOOKUP($M$9,CLIENTS!A3:M4,6,0)</f>
        <v>7110</v>
      </c>
      <c r="L13" s="508"/>
      <c r="M13" s="491" t="str">
        <f>VLOOKUP(M9,CLIENTS!A3:M4,7,0)</f>
        <v>VERS</v>
      </c>
      <c r="N13" s="491"/>
      <c r="O13" s="491"/>
      <c r="P13" s="491"/>
      <c r="Q13" s="333"/>
      <c r="R13" s="334"/>
    </row>
    <row r="14" spans="1:18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4"/>
    </row>
    <row r="15" spans="1:18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8">
      <c r="A16" s="492" t="s">
        <v>268</v>
      </c>
      <c r="B16" s="492"/>
      <c r="C16" s="343"/>
      <c r="D16" s="343"/>
      <c r="E16" s="343"/>
      <c r="F16" s="343"/>
      <c r="G16" s="343"/>
      <c r="H16" s="343"/>
      <c r="I16" s="343"/>
      <c r="J16" s="333"/>
      <c r="K16" s="333"/>
      <c r="L16" s="333"/>
      <c r="M16" s="333"/>
      <c r="N16" s="333"/>
      <c r="O16" s="333"/>
      <c r="P16" s="333"/>
      <c r="Q16" s="333"/>
      <c r="R16" s="334"/>
    </row>
    <row r="17" spans="1:18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4"/>
    </row>
    <row r="18" spans="1:18">
      <c r="A18" s="333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4"/>
    </row>
    <row r="19" spans="1:18">
      <c r="A19" s="333"/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4"/>
    </row>
    <row r="20" spans="1:18">
      <c r="A20" s="333"/>
      <c r="B20" s="333"/>
      <c r="C20" s="333"/>
      <c r="D20" s="333"/>
      <c r="E20" s="333"/>
      <c r="F20" s="506" t="s">
        <v>266</v>
      </c>
      <c r="G20" s="506"/>
      <c r="H20" s="506"/>
      <c r="I20" s="506"/>
      <c r="J20" s="333"/>
      <c r="K20" s="333"/>
      <c r="L20" s="333"/>
      <c r="M20" s="333"/>
      <c r="N20" s="333"/>
      <c r="O20" s="333"/>
      <c r="P20" s="333"/>
      <c r="Q20" s="333"/>
      <c r="R20" s="334"/>
    </row>
    <row r="21" spans="1:18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4"/>
    </row>
    <row r="22" spans="1:18">
      <c r="A22" s="333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4"/>
    </row>
    <row r="23" spans="1:18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4"/>
    </row>
    <row r="24" spans="1:18">
      <c r="A24" s="333"/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4"/>
    </row>
    <row r="25" spans="1:18" ht="15.75">
      <c r="A25" s="338"/>
      <c r="B25" s="338"/>
      <c r="C25" s="338" t="s">
        <v>270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3"/>
      <c r="R25" s="334"/>
    </row>
    <row r="26" spans="1:18" ht="15.75">
      <c r="A26" s="338" t="s">
        <v>271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3"/>
      <c r="R26" s="334"/>
    </row>
    <row r="27" spans="1:18" s="22" customFormat="1" ht="15.75">
      <c r="A27" s="33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3"/>
      <c r="R27" s="334"/>
    </row>
    <row r="28" spans="1:18" s="281" customFormat="1">
      <c r="A28" s="341"/>
      <c r="B28" s="494" t="s">
        <v>167</v>
      </c>
      <c r="C28" s="495"/>
      <c r="D28" s="496"/>
      <c r="E28" s="494" t="s">
        <v>21</v>
      </c>
      <c r="F28" s="495"/>
      <c r="G28" s="496"/>
      <c r="H28" s="494" t="s">
        <v>169</v>
      </c>
      <c r="I28" s="495"/>
      <c r="J28" s="496"/>
      <c r="K28" s="494" t="s">
        <v>224</v>
      </c>
      <c r="L28" s="495"/>
      <c r="M28" s="496"/>
      <c r="N28" s="494" t="s">
        <v>260</v>
      </c>
      <c r="O28" s="495"/>
      <c r="P28" s="496"/>
      <c r="Q28" s="341"/>
      <c r="R28" s="342"/>
    </row>
    <row r="29" spans="1:18">
      <c r="B29" s="497"/>
      <c r="C29" s="498"/>
      <c r="D29" s="499"/>
      <c r="E29" s="500"/>
      <c r="F29" s="501"/>
      <c r="G29" s="502"/>
      <c r="H29" s="503"/>
      <c r="I29" s="503"/>
      <c r="J29" s="503"/>
      <c r="K29" s="504"/>
      <c r="L29" s="504"/>
      <c r="M29" s="504"/>
      <c r="N29" s="493"/>
      <c r="O29" s="493"/>
      <c r="P29" s="493"/>
      <c r="Q29" s="333"/>
      <c r="R29" s="334"/>
    </row>
    <row r="30" spans="1:18">
      <c r="P30" s="340"/>
      <c r="Q30" s="333"/>
      <c r="R30" s="334"/>
    </row>
    <row r="31" spans="1:18" ht="15.75">
      <c r="A31" s="338"/>
      <c r="B31" s="338"/>
      <c r="C31" s="337" t="s">
        <v>272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4"/>
    </row>
    <row r="32" spans="1:18" ht="15.75">
      <c r="A32" s="338" t="s">
        <v>273</v>
      </c>
      <c r="B32" s="338"/>
      <c r="C32" s="338"/>
      <c r="D32" s="338"/>
      <c r="E32" s="338"/>
      <c r="F32" s="338"/>
      <c r="G32" s="338"/>
      <c r="H32" s="338"/>
      <c r="I32" s="338"/>
      <c r="J32" s="339"/>
      <c r="K32" s="505"/>
      <c r="L32" s="505"/>
      <c r="M32" s="505"/>
      <c r="N32" s="338"/>
      <c r="O32" s="338"/>
      <c r="P32" s="338"/>
      <c r="Q32" s="338"/>
      <c r="R32" s="334"/>
    </row>
    <row r="33" spans="1:18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4"/>
    </row>
    <row r="34" spans="1:18" ht="15.75" customHeight="1">
      <c r="A34" s="333"/>
      <c r="B34" s="333"/>
      <c r="C34" s="337" t="s">
        <v>274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3"/>
      <c r="R34" s="334"/>
    </row>
    <row r="35" spans="1:18" ht="15.75">
      <c r="A35" s="337" t="s">
        <v>275</v>
      </c>
      <c r="B35" s="333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3"/>
      <c r="R35" s="334"/>
    </row>
    <row r="36" spans="1:18">
      <c r="A36" s="333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4"/>
    </row>
    <row r="37" spans="1:18" ht="15.75">
      <c r="A37" s="333"/>
      <c r="B37" s="337" t="s">
        <v>276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4"/>
    </row>
    <row r="38" spans="1:18" ht="18" customHeight="1">
      <c r="A38" s="486" t="s">
        <v>277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334"/>
    </row>
    <row r="39" spans="1:18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4"/>
    </row>
    <row r="40" spans="1:18">
      <c r="A40" s="333"/>
      <c r="B40" s="333" t="s">
        <v>278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4"/>
    </row>
    <row r="41" spans="1:18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4"/>
    </row>
    <row r="42" spans="1:18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4"/>
    </row>
    <row r="43" spans="1:18">
      <c r="A43" s="333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4"/>
    </row>
    <row r="44" spans="1:18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4"/>
    </row>
    <row r="45" spans="1:18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4"/>
    </row>
    <row r="46" spans="1:18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4"/>
    </row>
    <row r="47" spans="1:18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4"/>
    </row>
  </sheetData>
  <mergeCells count="24">
    <mergeCell ref="K13:L13"/>
    <mergeCell ref="M13:P13"/>
    <mergeCell ref="K11:L11"/>
    <mergeCell ref="M11:P11"/>
    <mergeCell ref="H28:J28"/>
    <mergeCell ref="K28:M28"/>
    <mergeCell ref="N28:P28"/>
    <mergeCell ref="K12:P12"/>
    <mergeCell ref="A38:Q38"/>
    <mergeCell ref="K9:L9"/>
    <mergeCell ref="M9:N9"/>
    <mergeCell ref="K5:M5"/>
    <mergeCell ref="N5:P5"/>
    <mergeCell ref="A16:B16"/>
    <mergeCell ref="N29:P29"/>
    <mergeCell ref="B28:D28"/>
    <mergeCell ref="E28:G28"/>
    <mergeCell ref="B29:D29"/>
    <mergeCell ref="E29:G29"/>
    <mergeCell ref="H29:J29"/>
    <mergeCell ref="K29:M29"/>
    <mergeCell ref="K32:M32"/>
    <mergeCell ref="F20:I20"/>
    <mergeCell ref="K10:P10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51"/>
  <sheetViews>
    <sheetView zoomScale="88" zoomScaleNormal="88" workbookViewId="0">
      <selection activeCell="G15" sqref="G15"/>
    </sheetView>
  </sheetViews>
  <sheetFormatPr baseColWidth="10" defaultColWidth="8.85546875" defaultRowHeight="15"/>
  <cols>
    <col min="1" max="1" width="9.28515625" style="54" customWidth="1"/>
    <col min="2" max="2" width="12.28515625" customWidth="1"/>
    <col min="3" max="3" width="9" customWidth="1"/>
    <col min="4" max="4" width="10.42578125" customWidth="1"/>
    <col min="5" max="5" width="17.7109375" customWidth="1"/>
    <col min="6" max="6" width="9" customWidth="1"/>
    <col min="7" max="7" width="11.28515625" customWidth="1"/>
    <col min="8" max="8" width="14.28515625" customWidth="1"/>
    <col min="9" max="9" width="10.140625" customWidth="1"/>
    <col min="10" max="10" width="15" customWidth="1"/>
    <col min="11" max="11" width="16.42578125" customWidth="1"/>
    <col min="21" max="21" width="10.42578125" customWidth="1"/>
  </cols>
  <sheetData>
    <row r="1" spans="1:21" ht="93" customHeight="1">
      <c r="B1" s="442"/>
      <c r="C1" s="442"/>
      <c r="D1" s="442"/>
      <c r="E1" s="44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 customHeight="1">
      <c r="B2" s="411"/>
      <c r="C2" s="411"/>
      <c r="D2" s="411"/>
      <c r="E2" s="411"/>
      <c r="F2" s="29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.75" customHeight="1">
      <c r="B3" s="443"/>
      <c r="C3" s="443"/>
      <c r="D3" s="443"/>
      <c r="E3" s="82"/>
      <c r="F3" s="83"/>
      <c r="G3" s="22"/>
      <c r="H3" s="22"/>
      <c r="I3" s="22"/>
      <c r="J3" s="22"/>
      <c r="K3" s="23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.75" customHeight="1">
      <c r="B4" s="443"/>
      <c r="C4" s="443"/>
      <c r="D4" s="443"/>
      <c r="E4" s="82"/>
      <c r="F4" s="83"/>
      <c r="G4" s="27"/>
      <c r="H4" s="29"/>
      <c r="I4" s="27"/>
      <c r="J4" s="27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8.25" customHeight="1">
      <c r="B5" s="84"/>
      <c r="C5" s="84"/>
      <c r="D5" s="84"/>
      <c r="E5" s="82"/>
      <c r="F5" s="83"/>
      <c r="G5" s="27"/>
      <c r="H5" s="29"/>
      <c r="I5" s="27"/>
      <c r="J5" s="27"/>
      <c r="K5" s="23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8.75" customHeight="1">
      <c r="B6" s="445"/>
      <c r="C6" s="445"/>
      <c r="D6" s="445"/>
      <c r="E6" s="445"/>
      <c r="F6" s="445"/>
      <c r="G6" s="26"/>
      <c r="H6" s="97" t="e">
        <f>VLOOKUP(E12,TableauCL,2,0)</f>
        <v>#N/A</v>
      </c>
      <c r="I6" s="98"/>
      <c r="J6" s="98"/>
      <c r="K6" s="23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.75" customHeight="1">
      <c r="B7" s="424"/>
      <c r="C7" s="424"/>
      <c r="D7" s="446"/>
      <c r="E7" s="446"/>
      <c r="F7" s="446"/>
      <c r="G7" s="24"/>
      <c r="H7" s="99" t="e">
        <f>VLOOKUP(E12,TableauCL,3,0)</f>
        <v>#N/A</v>
      </c>
      <c r="I7" s="412" t="e">
        <f>VLOOKUP(E12,TableauCL,4,0)</f>
        <v>#N/A</v>
      </c>
      <c r="J7" s="412"/>
      <c r="K7" s="23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.75" customHeight="1">
      <c r="B8" s="85"/>
      <c r="C8" s="447"/>
      <c r="D8" s="447"/>
      <c r="E8" s="447"/>
      <c r="F8" s="447"/>
      <c r="G8" s="25"/>
      <c r="H8" s="99" t="e">
        <f>VLOOKUP(E12,TableauCL,5,0)</f>
        <v>#N/A</v>
      </c>
      <c r="I8" s="100"/>
      <c r="J8" s="100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.75" customHeight="1">
      <c r="B9" s="30"/>
      <c r="C9" s="31"/>
      <c r="D9" s="31"/>
      <c r="E9" s="31"/>
      <c r="F9" s="28"/>
      <c r="G9" s="25"/>
      <c r="H9" s="101" t="e">
        <f>VLOOKUP(E12,TableauCL,6,0)</f>
        <v>#N/A</v>
      </c>
      <c r="I9" s="425" t="e">
        <f>VLOOKUP(E12,TableauCL,7,0)</f>
        <v>#N/A</v>
      </c>
      <c r="J9" s="425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4" customFormat="1" ht="16.5" customHeight="1" thickBot="1">
      <c r="A10" s="54"/>
      <c r="B10" s="12"/>
      <c r="C10" s="12"/>
      <c r="D10" s="12"/>
      <c r="E10" s="12"/>
      <c r="F10" s="1"/>
      <c r="G10" s="1"/>
      <c r="H10" s="1"/>
      <c r="I10" s="1"/>
      <c r="J10" s="2"/>
      <c r="K10" s="3"/>
      <c r="M10" s="429"/>
      <c r="N10" s="429"/>
      <c r="O10" s="8"/>
      <c r="P10" s="8"/>
      <c r="Q10" s="5"/>
      <c r="R10"/>
      <c r="S10"/>
      <c r="T10" s="10"/>
      <c r="U10" s="11"/>
    </row>
    <row r="11" spans="1:21" s="14" customFormat="1" ht="25.5" customHeight="1">
      <c r="A11" s="420" t="s">
        <v>21</v>
      </c>
      <c r="B11" s="421"/>
      <c r="C11" s="418" t="s">
        <v>12</v>
      </c>
      <c r="D11" s="419"/>
      <c r="E11" s="43" t="s">
        <v>36</v>
      </c>
      <c r="F11" s="418" t="s">
        <v>13</v>
      </c>
      <c r="G11" s="421"/>
      <c r="H11" s="44" t="s">
        <v>15</v>
      </c>
      <c r="I11" s="419" t="s">
        <v>14</v>
      </c>
      <c r="J11" s="438"/>
      <c r="M11" s="430"/>
      <c r="N11" s="430"/>
      <c r="O11" s="15"/>
      <c r="P11" s="15"/>
      <c r="Q11" s="7"/>
      <c r="T11" s="16"/>
    </row>
    <row r="12" spans="1:21" s="49" customFormat="1" ht="21" customHeight="1" thickBot="1">
      <c r="A12" s="422"/>
      <c r="B12" s="423"/>
      <c r="C12" s="413" t="s">
        <v>182</v>
      </c>
      <c r="D12" s="414"/>
      <c r="E12" s="179"/>
      <c r="F12" s="434" t="str">
        <f>IF(I12="Chèque à réception","30 jours FDM","")</f>
        <v/>
      </c>
      <c r="G12" s="435"/>
      <c r="H12" s="48">
        <f>EOMONTH(A12+30,0)</f>
        <v>31</v>
      </c>
      <c r="I12" s="436"/>
      <c r="J12" s="437"/>
    </row>
    <row r="13" spans="1:21" ht="15.75" customHeight="1" thickBot="1">
      <c r="I13" s="48"/>
    </row>
    <row r="14" spans="1:21" s="13" customFormat="1" ht="27.75" customHeight="1" thickBot="1">
      <c r="A14" s="113" t="s">
        <v>35</v>
      </c>
      <c r="B14" s="415" t="s">
        <v>8</v>
      </c>
      <c r="C14" s="416"/>
      <c r="D14" s="416"/>
      <c r="E14" s="416"/>
      <c r="F14" s="102" t="s">
        <v>10</v>
      </c>
      <c r="G14" s="45" t="s">
        <v>11</v>
      </c>
      <c r="H14" s="112" t="s">
        <v>9</v>
      </c>
      <c r="I14" s="112" t="s">
        <v>4</v>
      </c>
      <c r="J14" s="46" t="s">
        <v>0</v>
      </c>
    </row>
    <row r="15" spans="1:21" s="6" customFormat="1" ht="18" customHeight="1">
      <c r="A15" s="174"/>
      <c r="B15" s="417"/>
      <c r="C15" s="417"/>
      <c r="D15" s="417"/>
      <c r="E15" s="417"/>
      <c r="F15" s="104" t="str">
        <f>IF(B15="","",VLOOKUP(B15,Tableau2[],4,0))</f>
        <v/>
      </c>
      <c r="G15" s="177"/>
      <c r="H15" s="108" t="str">
        <f>IF(B15="","",VLOOKUP(B15,Tableau2[],2,0))</f>
        <v/>
      </c>
      <c r="I15" s="110" t="str">
        <f>IF(B15="","",VLOOKUP(B15,Tableau2[],3,0))</f>
        <v/>
      </c>
      <c r="J15" s="107" t="str">
        <f t="shared" ref="J15:J39" si="0">IF(G15="","",G15*H15)</f>
        <v/>
      </c>
    </row>
    <row r="16" spans="1:21" s="6" customFormat="1" ht="18" customHeight="1">
      <c r="A16" s="175"/>
      <c r="B16" s="431"/>
      <c r="C16" s="432"/>
      <c r="D16" s="432"/>
      <c r="E16" s="433"/>
      <c r="F16" s="105" t="str">
        <f>IF(B16="","",VLOOKUP(B16,Tableau2[],4,0))</f>
        <v/>
      </c>
      <c r="G16" s="177"/>
      <c r="H16" s="108" t="str">
        <f>IF(B16="","",VLOOKUP(B16,Tableau2[],2,0))</f>
        <v/>
      </c>
      <c r="I16" s="110" t="str">
        <f>IF(B16="","",VLOOKUP(B16,Tableau2[],3,0))</f>
        <v/>
      </c>
      <c r="J16" s="107" t="str">
        <f t="shared" si="0"/>
        <v/>
      </c>
    </row>
    <row r="17" spans="1:10" s="6" customFormat="1" ht="18" customHeight="1">
      <c r="A17" s="175"/>
      <c r="B17" s="431"/>
      <c r="C17" s="432"/>
      <c r="D17" s="432"/>
      <c r="E17" s="433"/>
      <c r="F17" s="105" t="str">
        <f>IF(B17="","",VLOOKUP(B17,Tableau2[],4,0))</f>
        <v/>
      </c>
      <c r="G17" s="177"/>
      <c r="H17" s="108" t="str">
        <f>IF(B17="","",VLOOKUP(B17,Tableau2[],2,0))</f>
        <v/>
      </c>
      <c r="I17" s="110" t="str">
        <f>IF(B17="","",VLOOKUP(B17,Tableau2[],3,0))</f>
        <v/>
      </c>
      <c r="J17" s="107" t="str">
        <f t="shared" si="0"/>
        <v/>
      </c>
    </row>
    <row r="18" spans="1:10" s="6" customFormat="1" ht="18" customHeight="1">
      <c r="A18" s="175"/>
      <c r="B18" s="431"/>
      <c r="C18" s="432"/>
      <c r="D18" s="432"/>
      <c r="E18" s="433"/>
      <c r="F18" s="105" t="str">
        <f>IF(B18="","",VLOOKUP(B18,Tableau2[],4,0))</f>
        <v/>
      </c>
      <c r="G18" s="177"/>
      <c r="H18" s="108" t="str">
        <f>IF(B18="","",VLOOKUP(B18,Tableau2[],2,0))</f>
        <v/>
      </c>
      <c r="I18" s="110" t="str">
        <f>IF(B18="","",VLOOKUP(B18,Tableau2[],3,0))</f>
        <v/>
      </c>
      <c r="J18" s="107" t="str">
        <f t="shared" si="0"/>
        <v/>
      </c>
    </row>
    <row r="19" spans="1:10" s="6" customFormat="1" ht="18" customHeight="1">
      <c r="A19" s="175"/>
      <c r="B19" s="431"/>
      <c r="C19" s="432"/>
      <c r="D19" s="432"/>
      <c r="E19" s="433"/>
      <c r="F19" s="105" t="str">
        <f>IF(B19="","",VLOOKUP(B19,Tableau2[],4,0))</f>
        <v/>
      </c>
      <c r="G19" s="177"/>
      <c r="H19" s="108" t="str">
        <f>IF(B19="","",VLOOKUP(B19,Tableau2[],2,0))</f>
        <v/>
      </c>
      <c r="I19" s="110" t="str">
        <f>IF(B19="","",VLOOKUP(B19,Tableau2[],3,0))</f>
        <v/>
      </c>
      <c r="J19" s="107" t="str">
        <f t="shared" si="0"/>
        <v/>
      </c>
    </row>
    <row r="20" spans="1:10" s="6" customFormat="1" ht="18" customHeight="1">
      <c r="A20" s="175"/>
      <c r="B20" s="432"/>
      <c r="C20" s="432"/>
      <c r="D20" s="432"/>
      <c r="E20" s="432"/>
      <c r="F20" s="105" t="str">
        <f>IF(B20="","",VLOOKUP(B20,Tableau2[],4,0))</f>
        <v/>
      </c>
      <c r="G20" s="177"/>
      <c r="H20" s="108" t="str">
        <f>IF(B20="","",VLOOKUP(B20,Tableau2[],2,0))</f>
        <v/>
      </c>
      <c r="I20" s="110" t="str">
        <f>IF(B20="","",VLOOKUP(B20,Tableau2[],3,0))</f>
        <v/>
      </c>
      <c r="J20" s="107" t="str">
        <f t="shared" si="0"/>
        <v/>
      </c>
    </row>
    <row r="21" spans="1:10" s="6" customFormat="1" ht="18" customHeight="1">
      <c r="A21" s="175"/>
      <c r="B21" s="432"/>
      <c r="C21" s="432"/>
      <c r="D21" s="432"/>
      <c r="E21" s="432"/>
      <c r="F21" s="105" t="str">
        <f>IF(B21="","",VLOOKUP(B21,Tableau2[],4,0))</f>
        <v/>
      </c>
      <c r="G21" s="177"/>
      <c r="H21" s="108" t="str">
        <f>IF(B21="","",VLOOKUP(B21,Tableau2[],2,0))</f>
        <v/>
      </c>
      <c r="I21" s="110" t="str">
        <f>IF(B21="","",VLOOKUP(B21,Tableau2[],3,0))</f>
        <v/>
      </c>
      <c r="J21" s="107" t="str">
        <f t="shared" si="0"/>
        <v/>
      </c>
    </row>
    <row r="22" spans="1:10" s="6" customFormat="1" ht="18" customHeight="1">
      <c r="A22" s="175"/>
      <c r="B22" s="432"/>
      <c r="C22" s="432"/>
      <c r="D22" s="432"/>
      <c r="E22" s="432"/>
      <c r="F22" s="105" t="str">
        <f>IF(B22="","",VLOOKUP(B22,Tableau2[],4,0))</f>
        <v/>
      </c>
      <c r="G22" s="177"/>
      <c r="H22" s="108" t="str">
        <f>IF(B22="","",VLOOKUP(B22,Tableau2[],2,0))</f>
        <v/>
      </c>
      <c r="I22" s="110" t="str">
        <f>IF(B22="","",VLOOKUP(B22,Tableau2[],3,0))</f>
        <v/>
      </c>
      <c r="J22" s="107" t="str">
        <f t="shared" si="0"/>
        <v/>
      </c>
    </row>
    <row r="23" spans="1:10" s="6" customFormat="1" ht="18" customHeight="1">
      <c r="A23" s="175"/>
      <c r="B23" s="432"/>
      <c r="C23" s="432"/>
      <c r="D23" s="432"/>
      <c r="E23" s="432"/>
      <c r="F23" s="105" t="str">
        <f>IF(B23="","",VLOOKUP(B23,Tableau2[],4,0))</f>
        <v/>
      </c>
      <c r="G23" s="177"/>
      <c r="H23" s="108" t="str">
        <f>IF(B23="","",VLOOKUP(B23,Tableau2[],2,0))</f>
        <v/>
      </c>
      <c r="I23" s="110" t="str">
        <f>IF(B23="","",VLOOKUP(B23,Tableau2[],3,0))</f>
        <v/>
      </c>
      <c r="J23" s="107" t="str">
        <f t="shared" si="0"/>
        <v/>
      </c>
    </row>
    <row r="24" spans="1:10" s="6" customFormat="1" ht="18" customHeight="1">
      <c r="A24" s="175"/>
      <c r="B24" s="432"/>
      <c r="C24" s="432"/>
      <c r="D24" s="432"/>
      <c r="E24" s="432"/>
      <c r="F24" s="105" t="str">
        <f>IF(B24="","",VLOOKUP(B24,Tableau2[],4,0))</f>
        <v/>
      </c>
      <c r="G24" s="177"/>
      <c r="H24" s="108" t="str">
        <f>IF(B24="","",VLOOKUP(B24,Tableau2[],2,0))</f>
        <v/>
      </c>
      <c r="I24" s="110" t="str">
        <f>IF(B24="","",VLOOKUP(B24,Tableau2[],3,0))</f>
        <v/>
      </c>
      <c r="J24" s="107" t="str">
        <f t="shared" si="0"/>
        <v/>
      </c>
    </row>
    <row r="25" spans="1:10" s="21" customFormat="1" ht="18" customHeight="1">
      <c r="A25" s="175"/>
      <c r="B25" s="432"/>
      <c r="C25" s="432"/>
      <c r="D25" s="432"/>
      <c r="E25" s="432"/>
      <c r="F25" s="105" t="str">
        <f>IF(B25="","",VLOOKUP(B25,Tableau2[],4,0))</f>
        <v/>
      </c>
      <c r="G25" s="177"/>
      <c r="H25" s="108" t="str">
        <f>IF(B25="","",VLOOKUP(B25,Tableau2[],2,0))</f>
        <v/>
      </c>
      <c r="I25" s="110" t="str">
        <f>IF(B25="","",VLOOKUP(B25,Tableau2[],3,0))</f>
        <v/>
      </c>
      <c r="J25" s="107" t="str">
        <f t="shared" si="0"/>
        <v/>
      </c>
    </row>
    <row r="26" spans="1:10" s="21" customFormat="1" ht="18" customHeight="1">
      <c r="A26" s="175"/>
      <c r="B26" s="432"/>
      <c r="C26" s="432"/>
      <c r="D26" s="432"/>
      <c r="E26" s="432"/>
      <c r="F26" s="105" t="str">
        <f>IF(B26="","",VLOOKUP(B26,Tableau2[],4,0))</f>
        <v/>
      </c>
      <c r="G26" s="177"/>
      <c r="H26" s="108" t="str">
        <f>IF(B26="","",VLOOKUP(B26,Tableau2[],2,0))</f>
        <v/>
      </c>
      <c r="I26" s="110" t="str">
        <f>IF(B26="","",VLOOKUP(B26,Tableau2[],3,0))</f>
        <v/>
      </c>
      <c r="J26" s="107" t="str">
        <f t="shared" si="0"/>
        <v/>
      </c>
    </row>
    <row r="27" spans="1:10" s="21" customFormat="1" ht="18" customHeight="1">
      <c r="A27" s="175"/>
      <c r="B27" s="432"/>
      <c r="C27" s="432"/>
      <c r="D27" s="432"/>
      <c r="E27" s="432"/>
      <c r="F27" s="105" t="str">
        <f>IF(B27="","",VLOOKUP(B27,Tableau2[],4,0))</f>
        <v/>
      </c>
      <c r="G27" s="177"/>
      <c r="H27" s="108" t="str">
        <f>IF(B27="","",VLOOKUP(B27,Tableau2[],2,0))</f>
        <v/>
      </c>
      <c r="I27" s="110" t="str">
        <f>IF(B27="","",VLOOKUP(B27,Tableau2[],3,0))</f>
        <v/>
      </c>
      <c r="J27" s="107" t="str">
        <f t="shared" si="0"/>
        <v/>
      </c>
    </row>
    <row r="28" spans="1:10" s="21" customFormat="1" ht="18" customHeight="1">
      <c r="A28" s="175"/>
      <c r="B28" s="432"/>
      <c r="C28" s="432"/>
      <c r="D28" s="432"/>
      <c r="E28" s="432"/>
      <c r="F28" s="105" t="str">
        <f>IF(B28="","",VLOOKUP(B28,Tableau2[],4,0))</f>
        <v/>
      </c>
      <c r="G28" s="177"/>
      <c r="H28" s="108" t="str">
        <f>IF(B28="","",VLOOKUP(B28,Tableau2[],2,0))</f>
        <v/>
      </c>
      <c r="I28" s="110" t="str">
        <f>IF(B28="","",VLOOKUP(B28,Tableau2[],3,0))</f>
        <v/>
      </c>
      <c r="J28" s="107" t="str">
        <f t="shared" si="0"/>
        <v/>
      </c>
    </row>
    <row r="29" spans="1:10" s="21" customFormat="1" ht="18" customHeight="1">
      <c r="A29" s="175"/>
      <c r="B29" s="432"/>
      <c r="C29" s="432"/>
      <c r="D29" s="432"/>
      <c r="E29" s="432"/>
      <c r="F29" s="105" t="str">
        <f>IF(B29="","",VLOOKUP(B29,Tableau2[],4,0))</f>
        <v/>
      </c>
      <c r="G29" s="177"/>
      <c r="H29" s="108" t="str">
        <f>IF(B29="","",VLOOKUP(B29,Tableau2[],2,0))</f>
        <v/>
      </c>
      <c r="I29" s="110" t="str">
        <f>IF(B29="","",VLOOKUP(B29,Tableau2[],3,0))</f>
        <v/>
      </c>
      <c r="J29" s="107" t="str">
        <f t="shared" si="0"/>
        <v/>
      </c>
    </row>
    <row r="30" spans="1:10" s="21" customFormat="1" ht="18" customHeight="1">
      <c r="A30" s="175"/>
      <c r="B30" s="432"/>
      <c r="C30" s="432"/>
      <c r="D30" s="432"/>
      <c r="E30" s="432"/>
      <c r="F30" s="105" t="str">
        <f>IF(B30="","",VLOOKUP(B30,Tableau2[],4,0))</f>
        <v/>
      </c>
      <c r="G30" s="177"/>
      <c r="H30" s="108" t="str">
        <f>IF(B30="","",VLOOKUP(B30,Tableau2[],2,0))</f>
        <v/>
      </c>
      <c r="I30" s="110" t="str">
        <f>IF(B30="","",VLOOKUP(B30,Tableau2[],3,0))</f>
        <v/>
      </c>
      <c r="J30" s="107" t="str">
        <f t="shared" si="0"/>
        <v/>
      </c>
    </row>
    <row r="31" spans="1:10" s="21" customFormat="1" ht="18" customHeight="1">
      <c r="A31" s="175"/>
      <c r="B31" s="432"/>
      <c r="C31" s="432"/>
      <c r="D31" s="432"/>
      <c r="E31" s="432"/>
      <c r="F31" s="105" t="str">
        <f>IF(B31="","",VLOOKUP(B31,Tableau2[],4,0))</f>
        <v/>
      </c>
      <c r="G31" s="177"/>
      <c r="H31" s="108" t="str">
        <f>IF(B31="","",VLOOKUP(B31,Tableau2[],2,0))</f>
        <v/>
      </c>
      <c r="I31" s="110" t="str">
        <f>IF(B31="","",VLOOKUP(B31,Tableau2[],3,0))</f>
        <v/>
      </c>
      <c r="J31" s="107" t="str">
        <f t="shared" si="0"/>
        <v/>
      </c>
    </row>
    <row r="32" spans="1:10" s="21" customFormat="1" ht="18" customHeight="1">
      <c r="A32" s="175"/>
      <c r="B32" s="432"/>
      <c r="C32" s="432"/>
      <c r="D32" s="432"/>
      <c r="E32" s="432"/>
      <c r="F32" s="105" t="str">
        <f>IF(B32="","",VLOOKUP(B32,Tableau2[],4,0))</f>
        <v/>
      </c>
      <c r="G32" s="177"/>
      <c r="H32" s="108" t="str">
        <f>IF(B32="","",VLOOKUP(B32,Tableau2[],2,0))</f>
        <v/>
      </c>
      <c r="I32" s="110" t="str">
        <f>IF(B32="","",VLOOKUP(B32,Tableau2[],3,0))</f>
        <v/>
      </c>
      <c r="J32" s="107" t="str">
        <f t="shared" si="0"/>
        <v/>
      </c>
    </row>
    <row r="33" spans="1:12" s="21" customFormat="1" ht="18" customHeight="1">
      <c r="A33" s="175"/>
      <c r="B33" s="432"/>
      <c r="C33" s="432"/>
      <c r="D33" s="432"/>
      <c r="E33" s="432"/>
      <c r="F33" s="105" t="str">
        <f>IF(B33="","",VLOOKUP(B33,Tableau2[],4,0))</f>
        <v/>
      </c>
      <c r="G33" s="177"/>
      <c r="H33" s="108" t="str">
        <f>IF(B33="","",VLOOKUP(B33,Tableau2[],2,0))</f>
        <v/>
      </c>
      <c r="I33" s="110" t="str">
        <f>IF(B33="","",VLOOKUP(B33,Tableau2[],3,0))</f>
        <v/>
      </c>
      <c r="J33" s="107" t="str">
        <f t="shared" si="0"/>
        <v/>
      </c>
    </row>
    <row r="34" spans="1:12" s="21" customFormat="1" ht="18" customHeight="1">
      <c r="A34" s="175"/>
      <c r="B34" s="432"/>
      <c r="C34" s="432"/>
      <c r="D34" s="432"/>
      <c r="E34" s="432"/>
      <c r="F34" s="105" t="str">
        <f>IF(B34="","",VLOOKUP(B34,Tableau2[],4,0))</f>
        <v/>
      </c>
      <c r="G34" s="177"/>
      <c r="H34" s="108" t="str">
        <f>IF(B34="","",VLOOKUP(B34,Tableau2[],2,0))</f>
        <v/>
      </c>
      <c r="I34" s="110" t="str">
        <f>IF(B34="","",VLOOKUP(B34,Tableau2[],3,0))</f>
        <v/>
      </c>
      <c r="J34" s="107" t="str">
        <f t="shared" si="0"/>
        <v/>
      </c>
    </row>
    <row r="35" spans="1:12" s="21" customFormat="1" ht="18" customHeight="1">
      <c r="A35" s="175"/>
      <c r="B35" s="432"/>
      <c r="C35" s="432"/>
      <c r="D35" s="432"/>
      <c r="E35" s="432"/>
      <c r="F35" s="105" t="str">
        <f>IF(B35="","",VLOOKUP(B35,Tableau2[],4,0))</f>
        <v/>
      </c>
      <c r="G35" s="177"/>
      <c r="H35" s="108" t="str">
        <f>IF(B35="","",VLOOKUP(B35,Tableau2[],2,0))</f>
        <v/>
      </c>
      <c r="I35" s="110" t="str">
        <f>IF(B35="","",VLOOKUP(B35,Tableau2[],3,0))</f>
        <v/>
      </c>
      <c r="J35" s="107" t="str">
        <f t="shared" si="0"/>
        <v/>
      </c>
    </row>
    <row r="36" spans="1:12" s="21" customFormat="1" ht="18" customHeight="1">
      <c r="A36" s="175"/>
      <c r="B36" s="432"/>
      <c r="C36" s="432"/>
      <c r="D36" s="432"/>
      <c r="E36" s="432"/>
      <c r="F36" s="105" t="str">
        <f>IF(B36="","",VLOOKUP(B36,Tableau2[],4,0))</f>
        <v/>
      </c>
      <c r="G36" s="177"/>
      <c r="H36" s="108" t="str">
        <f>IF(B36="","",VLOOKUP(B36,Tableau2[],2,0))</f>
        <v/>
      </c>
      <c r="I36" s="110" t="str">
        <f>IF(B36="","",VLOOKUP(B36,Tableau2[],3,0))</f>
        <v/>
      </c>
      <c r="J36" s="107" t="str">
        <f t="shared" si="0"/>
        <v/>
      </c>
    </row>
    <row r="37" spans="1:12" s="21" customFormat="1" ht="18" customHeight="1">
      <c r="A37" s="175"/>
      <c r="B37" s="432"/>
      <c r="C37" s="432"/>
      <c r="D37" s="432"/>
      <c r="E37" s="432"/>
      <c r="F37" s="105" t="str">
        <f>IF(B37="","",VLOOKUP(B37,Tableau2[],4,0))</f>
        <v/>
      </c>
      <c r="G37" s="177"/>
      <c r="H37" s="108" t="str">
        <f>IF(B37="","",VLOOKUP(B37,Tableau2[],2,0))</f>
        <v/>
      </c>
      <c r="I37" s="110" t="str">
        <f>IF(B37="","",VLOOKUP(B37,Tableau2[],3,0))</f>
        <v/>
      </c>
      <c r="J37" s="107" t="str">
        <f t="shared" si="0"/>
        <v/>
      </c>
    </row>
    <row r="38" spans="1:12" s="21" customFormat="1" ht="18" customHeight="1">
      <c r="A38" s="175"/>
      <c r="B38" s="432"/>
      <c r="C38" s="432"/>
      <c r="D38" s="432"/>
      <c r="E38" s="432"/>
      <c r="F38" s="105" t="str">
        <f>IF(B38="","",VLOOKUP(B38,Tableau2[],4,0))</f>
        <v/>
      </c>
      <c r="G38" s="177"/>
      <c r="H38" s="108" t="str">
        <f>IF(B38="","",VLOOKUP(B38,Tableau2[],2,0))</f>
        <v/>
      </c>
      <c r="I38" s="110" t="str">
        <f>IF(B38="","",VLOOKUP(B38,Tableau2[],3,0))</f>
        <v/>
      </c>
      <c r="J38" s="107" t="str">
        <f t="shared" si="0"/>
        <v/>
      </c>
    </row>
    <row r="39" spans="1:12" s="21" customFormat="1" ht="18" customHeight="1" thickBot="1">
      <c r="A39" s="176"/>
      <c r="B39" s="448"/>
      <c r="C39" s="448"/>
      <c r="D39" s="448"/>
      <c r="E39" s="448"/>
      <c r="F39" s="106" t="str">
        <f>IF(B39="","",VLOOKUP(B39,Tableau2[],4,0))</f>
        <v/>
      </c>
      <c r="G39" s="178"/>
      <c r="H39" s="109" t="str">
        <f>IF(B39="","",VLOOKUP(B39,Tableau2[],2,0))</f>
        <v/>
      </c>
      <c r="I39" s="111" t="str">
        <f>IF(B39="","",VLOOKUP(B39,Tableau2[],3,0))</f>
        <v/>
      </c>
      <c r="J39" s="159" t="str">
        <f t="shared" si="0"/>
        <v/>
      </c>
    </row>
    <row r="40" spans="1:12" s="21" customFormat="1" ht="18" customHeight="1" thickBot="1">
      <c r="A40" s="449" t="s">
        <v>2</v>
      </c>
      <c r="B40" s="450"/>
      <c r="C40" s="450" t="s">
        <v>3</v>
      </c>
      <c r="D40" s="450"/>
      <c r="E40" s="34" t="s">
        <v>37</v>
      </c>
      <c r="F40" s="103" t="str">
        <f>IF(B40="","",VLOOKUP(B40,Tableau,4,0))</f>
        <v/>
      </c>
      <c r="G40" s="33"/>
      <c r="H40" s="478" t="s">
        <v>1</v>
      </c>
      <c r="I40" s="479"/>
      <c r="J40" s="35">
        <f>SUM(J15:J39)</f>
        <v>0</v>
      </c>
    </row>
    <row r="41" spans="1:12" s="6" customFormat="1" ht="20.100000000000001" customHeight="1">
      <c r="A41" s="472">
        <f>SUMIF($I$15:$I$38,C41,$J$15:$J$38)</f>
        <v>0</v>
      </c>
      <c r="B41" s="473"/>
      <c r="C41" s="474">
        <v>5.5E-2</v>
      </c>
      <c r="D41" s="474"/>
      <c r="E41" s="39">
        <f>A41*C41</f>
        <v>0</v>
      </c>
      <c r="F41"/>
      <c r="G41"/>
      <c r="H41" s="468" t="s">
        <v>4</v>
      </c>
      <c r="I41" s="469"/>
      <c r="J41" s="36">
        <f>SUM(E41:E44)</f>
        <v>0</v>
      </c>
      <c r="L41" s="53"/>
    </row>
    <row r="42" spans="1:12" s="9" customFormat="1" ht="20.100000000000001" customHeight="1">
      <c r="A42" s="439">
        <f>SUMIF($I$15:$I$38,C42,$J$15:$J$38)</f>
        <v>0</v>
      </c>
      <c r="B42" s="440"/>
      <c r="C42" s="441">
        <v>7.0000000000000007E-2</v>
      </c>
      <c r="D42" s="441"/>
      <c r="E42" s="39">
        <f>A42*C42</f>
        <v>0</v>
      </c>
      <c r="F42"/>
      <c r="G42"/>
      <c r="H42" s="470" t="s">
        <v>5</v>
      </c>
      <c r="I42" s="471"/>
      <c r="J42" s="37">
        <f>J40+J41</f>
        <v>0</v>
      </c>
    </row>
    <row r="43" spans="1:12" s="9" customFormat="1" ht="20.100000000000001" customHeight="1" thickBot="1">
      <c r="A43" s="439">
        <f>SUMIF($I$15:$I$38,C43,$J$15:$J$38)</f>
        <v>0</v>
      </c>
      <c r="B43" s="440"/>
      <c r="C43" s="444">
        <v>0.1</v>
      </c>
      <c r="D43" s="444"/>
      <c r="E43" s="190">
        <f>A43*C43</f>
        <v>0</v>
      </c>
      <c r="F43"/>
      <c r="G43"/>
      <c r="H43" s="464" t="s">
        <v>6</v>
      </c>
      <c r="I43" s="465"/>
      <c r="J43" s="38">
        <v>0</v>
      </c>
    </row>
    <row r="44" spans="1:12" s="9" customFormat="1" ht="20.25" customHeight="1" thickBot="1">
      <c r="A44" s="475">
        <f>SUMIF($I$15:$I$38,C44,$J$15:$J$38)</f>
        <v>0</v>
      </c>
      <c r="B44" s="476"/>
      <c r="C44" s="477">
        <v>0.2</v>
      </c>
      <c r="D44" s="477"/>
      <c r="E44" s="40">
        <f>A44*C44</f>
        <v>0</v>
      </c>
      <c r="F44"/>
      <c r="G44"/>
      <c r="H44" s="466" t="s">
        <v>7</v>
      </c>
      <c r="I44" s="467"/>
      <c r="J44" s="42">
        <f>J42-J43</f>
        <v>0</v>
      </c>
    </row>
    <row r="45" spans="1:12" s="9" customFormat="1" ht="17.25" customHeight="1" thickBot="1">
      <c r="A45" s="158"/>
      <c r="B45"/>
      <c r="C45"/>
      <c r="D45"/>
      <c r="E45"/>
      <c r="F45"/>
      <c r="G45"/>
      <c r="H45"/>
      <c r="I45"/>
      <c r="J45"/>
    </row>
    <row r="46" spans="1:12" ht="19.5" customHeight="1" thickBot="1">
      <c r="A46" s="426" t="s">
        <v>28</v>
      </c>
      <c r="B46" s="427"/>
      <c r="C46" s="427"/>
      <c r="D46" s="427"/>
      <c r="E46" s="427"/>
      <c r="F46" s="427"/>
      <c r="G46" s="427"/>
      <c r="H46" s="427"/>
      <c r="I46" s="427"/>
      <c r="J46" s="428"/>
    </row>
    <row r="47" spans="1:12" ht="19.5" customHeight="1">
      <c r="A47" s="461" t="s">
        <v>175</v>
      </c>
      <c r="B47" s="462"/>
      <c r="C47" s="462"/>
      <c r="D47" s="462"/>
      <c r="E47" s="462"/>
      <c r="F47" s="462"/>
      <c r="G47" s="462"/>
      <c r="H47" s="462"/>
      <c r="I47" s="462"/>
      <c r="J47" s="463"/>
    </row>
    <row r="48" spans="1:12" ht="19.5" customHeight="1">
      <c r="A48" s="451" t="s">
        <v>29</v>
      </c>
      <c r="B48" s="452"/>
      <c r="C48" s="86"/>
      <c r="D48" s="460"/>
      <c r="E48" s="460"/>
      <c r="F48" s="460"/>
      <c r="G48" s="87"/>
      <c r="H48" s="88" t="s">
        <v>30</v>
      </c>
      <c r="I48" s="457"/>
      <c r="J48" s="458"/>
    </row>
    <row r="49" spans="1:10" ht="15" customHeight="1">
      <c r="A49" s="451" t="s">
        <v>31</v>
      </c>
      <c r="B49" s="452"/>
      <c r="C49" s="89" t="s">
        <v>32</v>
      </c>
      <c r="D49" s="459" t="s">
        <v>33</v>
      </c>
      <c r="E49" s="459"/>
      <c r="F49" s="90" t="s">
        <v>34</v>
      </c>
      <c r="G49" s="91"/>
      <c r="H49" s="91"/>
      <c r="I49" s="91"/>
      <c r="J49" s="92"/>
    </row>
    <row r="50" spans="1:10" ht="15" customHeight="1" thickBot="1">
      <c r="A50" s="453"/>
      <c r="B50" s="454"/>
      <c r="C50" s="93"/>
      <c r="D50" s="456"/>
      <c r="E50" s="456"/>
      <c r="F50" s="94"/>
      <c r="G50" s="95"/>
      <c r="H50" s="95"/>
      <c r="I50" s="95"/>
      <c r="J50" s="96"/>
    </row>
    <row r="51" spans="1:10" ht="21" customHeight="1">
      <c r="A51" s="455" t="s">
        <v>286</v>
      </c>
      <c r="B51" s="455"/>
      <c r="C51" s="455"/>
      <c r="D51" s="455"/>
      <c r="E51" s="455"/>
      <c r="F51" s="455"/>
      <c r="G51" s="455"/>
      <c r="H51" s="455"/>
      <c r="I51" s="455"/>
      <c r="J51" s="455"/>
    </row>
  </sheetData>
  <mergeCells count="71">
    <mergeCell ref="B21:E21"/>
    <mergeCell ref="B27:E27"/>
    <mergeCell ref="A47:J47"/>
    <mergeCell ref="H43:I43"/>
    <mergeCell ref="H44:I44"/>
    <mergeCell ref="H41:I41"/>
    <mergeCell ref="H42:I42"/>
    <mergeCell ref="B26:E26"/>
    <mergeCell ref="A41:B41"/>
    <mergeCell ref="C41:D41"/>
    <mergeCell ref="A44:B44"/>
    <mergeCell ref="C44:D44"/>
    <mergeCell ref="B29:E29"/>
    <mergeCell ref="H40:I40"/>
    <mergeCell ref="B36:E36"/>
    <mergeCell ref="B37:E37"/>
    <mergeCell ref="A48:B48"/>
    <mergeCell ref="A49:B49"/>
    <mergeCell ref="A50:B50"/>
    <mergeCell ref="A51:J51"/>
    <mergeCell ref="D50:E50"/>
    <mergeCell ref="I48:J48"/>
    <mergeCell ref="D49:E49"/>
    <mergeCell ref="D48:F48"/>
    <mergeCell ref="B1:E1"/>
    <mergeCell ref="B3:D3"/>
    <mergeCell ref="B4:D4"/>
    <mergeCell ref="A43:B43"/>
    <mergeCell ref="C43:D43"/>
    <mergeCell ref="B23:E23"/>
    <mergeCell ref="B24:E24"/>
    <mergeCell ref="B25:E25"/>
    <mergeCell ref="B6:F6"/>
    <mergeCell ref="D7:F7"/>
    <mergeCell ref="C8:F8"/>
    <mergeCell ref="B39:E39"/>
    <mergeCell ref="A40:B40"/>
    <mergeCell ref="C40:D40"/>
    <mergeCell ref="B35:E35"/>
    <mergeCell ref="B32:E32"/>
    <mergeCell ref="B38:E38"/>
    <mergeCell ref="B30:E30"/>
    <mergeCell ref="B31:E31"/>
    <mergeCell ref="B33:E33"/>
    <mergeCell ref="B34:E34"/>
    <mergeCell ref="A46:J46"/>
    <mergeCell ref="M10:N10"/>
    <mergeCell ref="M11:N11"/>
    <mergeCell ref="B17:E17"/>
    <mergeCell ref="B18:E18"/>
    <mergeCell ref="B22:E22"/>
    <mergeCell ref="B16:E16"/>
    <mergeCell ref="F11:G11"/>
    <mergeCell ref="F12:G12"/>
    <mergeCell ref="I12:J12"/>
    <mergeCell ref="I11:J11"/>
    <mergeCell ref="B19:E19"/>
    <mergeCell ref="B20:E20"/>
    <mergeCell ref="A42:B42"/>
    <mergeCell ref="C42:D42"/>
    <mergeCell ref="B28:E28"/>
    <mergeCell ref="B2:E2"/>
    <mergeCell ref="I7:J7"/>
    <mergeCell ref="C12:D12"/>
    <mergeCell ref="B14:E14"/>
    <mergeCell ref="B15:E15"/>
    <mergeCell ref="C11:D11"/>
    <mergeCell ref="A11:B11"/>
    <mergeCell ref="A12:B12"/>
    <mergeCell ref="B7:C7"/>
    <mergeCell ref="I9:J9"/>
  </mergeCells>
  <phoneticPr fontId="0" type="noConversion"/>
  <dataValidations count="4">
    <dataValidation type="list" allowBlank="1" showInputMessage="1" showErrorMessage="1" sqref="B15:B39 C15:E15 C19:E24">
      <formula1>produits</formula1>
    </dataValidation>
    <dataValidation type="list" allowBlank="1" showInputMessage="1" showErrorMessage="1" sqref="E12">
      <formula1>CODE</formula1>
    </dataValidation>
    <dataValidation type="list" allowBlank="1" showInputMessage="1" showErrorMessage="1" sqref="I12:J12">
      <formula1>"Chèque à réception, Chèque, Espèce"</formula1>
    </dataValidation>
    <dataValidation type="list" allowBlank="1" showInputMessage="1" showErrorMessage="1" sqref="A15:A39">
      <formula1>BLMOIS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portrait" horizont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W6"/>
  <sheetViews>
    <sheetView topLeftCell="K1" zoomScale="80" zoomScaleNormal="80" workbookViewId="0">
      <selection activeCell="I4" sqref="I4"/>
    </sheetView>
  </sheetViews>
  <sheetFormatPr baseColWidth="10" defaultRowHeight="15"/>
  <cols>
    <col min="1" max="1" width="16.7109375" style="132" customWidth="1"/>
    <col min="2" max="2" width="14" style="132" customWidth="1"/>
    <col min="3" max="3" width="12.5703125" style="182" customWidth="1"/>
    <col min="4" max="4" width="33.140625" style="1" customWidth="1"/>
    <col min="5" max="10" width="14" style="50" customWidth="1"/>
    <col min="11" max="12" width="16.7109375" style="50" customWidth="1"/>
    <col min="13" max="13" width="16.140625" style="50" customWidth="1"/>
    <col min="14" max="14" width="18.5703125" style="50" customWidth="1"/>
    <col min="15" max="15" width="10.42578125" style="50" customWidth="1"/>
    <col min="16" max="16" width="11.42578125" style="50" customWidth="1"/>
    <col min="17" max="17" width="14.7109375" style="50" customWidth="1"/>
    <col min="18" max="18" width="19" style="50" customWidth="1"/>
    <col min="19" max="21" width="10.42578125" style="50" customWidth="1"/>
    <col min="22" max="23" width="14" style="50" customWidth="1"/>
    <col min="24" max="24" width="11.42578125" style="50" customWidth="1"/>
    <col min="25" max="25" width="14.140625" style="50" customWidth="1"/>
    <col min="26" max="26" width="10.42578125" style="50" customWidth="1"/>
    <col min="27" max="27" width="10.5703125" style="50" customWidth="1"/>
    <col min="28" max="28" width="12.7109375" style="50" customWidth="1"/>
    <col min="29" max="31" width="12.5703125" style="50" customWidth="1"/>
    <col min="32" max="32" width="13" style="185" customWidth="1"/>
    <col min="33" max="33" width="11" style="189" customWidth="1"/>
    <col min="34" max="34" width="10.42578125" style="330" customWidth="1"/>
    <col min="35" max="35" width="14.5703125" style="225" customWidth="1"/>
    <col min="36" max="36" width="10.28515625" style="344" customWidth="1"/>
    <col min="37" max="37" width="15.7109375" customWidth="1"/>
    <col min="38" max="38" width="12.28515625" style="351" customWidth="1"/>
    <col min="39" max="39" width="14.5703125" style="61" customWidth="1"/>
    <col min="40" max="40" width="13.42578125" style="266" customWidth="1"/>
    <col min="41" max="41" width="26.7109375" style="346" customWidth="1"/>
    <col min="42" max="42" width="16.5703125" style="63" customWidth="1"/>
    <col min="43" max="43" width="16.5703125" style="347" customWidth="1"/>
    <col min="44" max="44" width="16.85546875" customWidth="1"/>
    <col min="45" max="48" width="15" style="63" customWidth="1"/>
  </cols>
  <sheetData>
    <row r="1" spans="1:49" s="157" customFormat="1" ht="33.75" customHeight="1">
      <c r="A1" s="480"/>
      <c r="B1" s="480"/>
      <c r="C1" s="480"/>
      <c r="D1" s="222" t="s">
        <v>120</v>
      </c>
      <c r="E1" s="51">
        <f>SUM(E3:E762)</f>
        <v>784.3</v>
      </c>
      <c r="F1" s="51">
        <f>SUM(F3:F762)</f>
        <v>713</v>
      </c>
      <c r="G1" s="51">
        <f>SUM(G3:G762)</f>
        <v>0</v>
      </c>
      <c r="H1" s="51">
        <f>SUM(H3:H762)</f>
        <v>0</v>
      </c>
      <c r="I1" s="51">
        <f>SUM(I3:I762)</f>
        <v>71.3</v>
      </c>
      <c r="J1" s="51">
        <f>SUM(J3:J762)</f>
        <v>0</v>
      </c>
      <c r="K1" s="51">
        <f>SUM(K3:K762)</f>
        <v>0</v>
      </c>
      <c r="L1" s="51"/>
      <c r="M1" s="51">
        <f>SUM(M3:M762)</f>
        <v>0</v>
      </c>
      <c r="N1" s="51">
        <f>SUM(N3:N762)</f>
        <v>0</v>
      </c>
      <c r="O1" s="51">
        <f>SUM(O3:O762)</f>
        <v>0</v>
      </c>
      <c r="P1" s="51">
        <f>SUM(P3:P762)</f>
        <v>0</v>
      </c>
      <c r="Q1" s="51">
        <f>SUM(Q3:Q762)</f>
        <v>0</v>
      </c>
      <c r="R1" s="51">
        <f>SUM(R3:R762)</f>
        <v>0</v>
      </c>
      <c r="S1" s="51">
        <f>SUM(S3:S762)</f>
        <v>0</v>
      </c>
      <c r="T1" s="51">
        <f>SUM(T3:T762)</f>
        <v>513</v>
      </c>
      <c r="U1" s="51">
        <f>SUM(U3:U762)</f>
        <v>200</v>
      </c>
      <c r="V1" s="51">
        <f>SUM(V3:V762)</f>
        <v>0</v>
      </c>
      <c r="W1" s="51"/>
      <c r="X1" s="51">
        <f>SUM(X3:X762)</f>
        <v>0</v>
      </c>
      <c r="Y1" s="51">
        <f>SUM(Y3:Y762)</f>
        <v>0</v>
      </c>
      <c r="Z1" s="51">
        <f>SUM(Z3:Z762)</f>
        <v>0</v>
      </c>
      <c r="AA1" s="51">
        <f>SUM(AA3:AA762)</f>
        <v>0</v>
      </c>
      <c r="AB1" s="51">
        <f>SUM(AB3:AB762)</f>
        <v>0</v>
      </c>
      <c r="AC1" s="51">
        <f>SUM(AC3:AC762)</f>
        <v>0</v>
      </c>
      <c r="AD1" s="51"/>
      <c r="AE1" s="51"/>
      <c r="AF1" s="183"/>
      <c r="AG1" s="187"/>
      <c r="AH1" s="327"/>
      <c r="AI1" s="129"/>
      <c r="AJ1" s="129"/>
      <c r="AL1" s="349"/>
      <c r="AM1" s="264"/>
      <c r="AN1" s="265"/>
      <c r="AO1" s="345">
        <f ca="1">TODAY()</f>
        <v>43444</v>
      </c>
      <c r="AP1" s="320"/>
      <c r="AQ1" s="352"/>
      <c r="AS1" s="320"/>
      <c r="AT1" s="320"/>
      <c r="AU1" s="320"/>
      <c r="AV1" s="320"/>
    </row>
    <row r="2" spans="1:49" s="52" customFormat="1" ht="24">
      <c r="A2" s="160" t="s">
        <v>20</v>
      </c>
      <c r="B2" s="161" t="s">
        <v>21</v>
      </c>
      <c r="C2" s="161" t="s">
        <v>122</v>
      </c>
      <c r="D2" s="223" t="s">
        <v>123</v>
      </c>
      <c r="E2" s="162" t="s">
        <v>22</v>
      </c>
      <c r="F2" s="162" t="s">
        <v>23</v>
      </c>
      <c r="G2" s="161" t="s">
        <v>24</v>
      </c>
      <c r="H2" s="161" t="s">
        <v>25</v>
      </c>
      <c r="I2" s="161" t="s">
        <v>26</v>
      </c>
      <c r="J2" s="161" t="s">
        <v>27</v>
      </c>
      <c r="K2" s="161" t="s">
        <v>282</v>
      </c>
      <c r="L2" s="161" t="s">
        <v>40</v>
      </c>
      <c r="M2" s="161" t="s">
        <v>41</v>
      </c>
      <c r="N2" s="161" t="s">
        <v>42</v>
      </c>
      <c r="O2" s="161" t="s">
        <v>43</v>
      </c>
      <c r="P2" s="161" t="s">
        <v>44</v>
      </c>
      <c r="Q2" s="161" t="s">
        <v>45</v>
      </c>
      <c r="R2" s="161" t="s">
        <v>46</v>
      </c>
      <c r="S2" s="161" t="s">
        <v>47</v>
      </c>
      <c r="T2" s="161" t="s">
        <v>48</v>
      </c>
      <c r="U2" s="161" t="s">
        <v>49</v>
      </c>
      <c r="V2" s="170" t="s">
        <v>236</v>
      </c>
      <c r="W2" s="171" t="s">
        <v>247</v>
      </c>
      <c r="X2" s="161" t="s">
        <v>50</v>
      </c>
      <c r="Y2" s="161" t="s">
        <v>51</v>
      </c>
      <c r="Z2" s="161" t="s">
        <v>52</v>
      </c>
      <c r="AA2" s="161" t="s">
        <v>53</v>
      </c>
      <c r="AB2" s="171" t="s">
        <v>54</v>
      </c>
      <c r="AC2" s="161" t="s">
        <v>55</v>
      </c>
      <c r="AD2" s="161" t="s">
        <v>288</v>
      </c>
      <c r="AE2" s="161" t="s">
        <v>289</v>
      </c>
      <c r="AF2" s="161" t="s">
        <v>290</v>
      </c>
      <c r="AG2" s="161" t="s">
        <v>258</v>
      </c>
      <c r="AH2" s="161" t="s">
        <v>242</v>
      </c>
      <c r="AI2" s="186" t="s">
        <v>38</v>
      </c>
      <c r="AJ2" s="328" t="s">
        <v>39</v>
      </c>
      <c r="AK2" s="227" t="s">
        <v>121</v>
      </c>
      <c r="AL2" s="293" t="s">
        <v>167</v>
      </c>
      <c r="AM2" s="350" t="s">
        <v>169</v>
      </c>
      <c r="AN2" s="293" t="s">
        <v>263</v>
      </c>
      <c r="AO2" s="294" t="s">
        <v>256</v>
      </c>
      <c r="AP2" s="295" t="s">
        <v>251</v>
      </c>
      <c r="AQ2" s="296" t="s">
        <v>261</v>
      </c>
      <c r="AR2" s="326" t="s">
        <v>260</v>
      </c>
      <c r="AS2" s="322" t="s">
        <v>262</v>
      </c>
      <c r="AT2" s="353" t="s">
        <v>280</v>
      </c>
      <c r="AU2" s="353" t="s">
        <v>281</v>
      </c>
      <c r="AV2" s="353" t="s">
        <v>283</v>
      </c>
      <c r="AW2" s="353" t="s">
        <v>284</v>
      </c>
    </row>
    <row r="3" spans="1:49">
      <c r="A3" s="165" t="s">
        <v>178</v>
      </c>
      <c r="B3" s="163">
        <v>43347</v>
      </c>
      <c r="C3" s="165" t="s">
        <v>124</v>
      </c>
      <c r="D3" s="224" t="s">
        <v>291</v>
      </c>
      <c r="E3" s="164">
        <v>282.14999999999998</v>
      </c>
      <c r="F3" s="164">
        <v>256.5</v>
      </c>
      <c r="G3" s="164">
        <v>0</v>
      </c>
      <c r="H3" s="164">
        <v>0</v>
      </c>
      <c r="I3" s="164">
        <v>25.65</v>
      </c>
      <c r="J3" s="164">
        <v>0</v>
      </c>
      <c r="K3" s="164"/>
      <c r="L3" s="164"/>
      <c r="M3" s="164"/>
      <c r="N3" s="164"/>
      <c r="O3" s="164"/>
      <c r="P3" s="164"/>
      <c r="Q3" s="164"/>
      <c r="R3" s="164"/>
      <c r="S3" s="164"/>
      <c r="T3" s="164">
        <v>256.5</v>
      </c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84" t="s">
        <v>126</v>
      </c>
      <c r="AI3" s="188">
        <v>947596</v>
      </c>
      <c r="AJ3" s="329" t="s">
        <v>245</v>
      </c>
      <c r="AK3" s="228" t="str">
        <f t="shared" ref="AK3" si="0">INDEX(ListeDesTaux,1,MATCH(LARGE(G3:J3,1),G3:J3,0))</f>
        <v>TVA
10 %</v>
      </c>
      <c r="AL3" s="228">
        <f>MONTH(Tableau7[[#This Row],[DATE]])</f>
        <v>9</v>
      </c>
      <c r="AM3" s="348" t="str">
        <f>Tableau7[[#This Row],[FACTURE 
NUMERO]]</f>
        <v>2018/VE/00001</v>
      </c>
      <c r="AN3" s="331" t="b">
        <f t="shared" ref="AN3" si="1">IF($AH3="",IF($AS3&lt;0,"","Relancer"))</f>
        <v>0</v>
      </c>
      <c r="AO3" s="164">
        <f>Tableau7[[#This Row],[TTC]]</f>
        <v>282.14999999999998</v>
      </c>
      <c r="AP3" s="332" t="str">
        <f>Tableau7[[#This Row],[CLIENT]]</f>
        <v>DI PIERRA</v>
      </c>
      <c r="AQ3" s="323">
        <f>Tableau7[[#This Row],[DATE]]</f>
        <v>43347</v>
      </c>
      <c r="AR3" s="324">
        <f t="shared" ref="AR3" si="2">EOMONTH(AQ3+30,0)</f>
        <v>43404</v>
      </c>
      <c r="AS3" s="325" t="str">
        <f t="shared" ref="AS3" si="3">IF(AH3="",$AO$1-$AR3,"Soldé")</f>
        <v>Soldé</v>
      </c>
      <c r="AT3" s="323"/>
      <c r="AU3" s="323"/>
      <c r="AV3" s="323"/>
      <c r="AW3" s="323"/>
    </row>
    <row r="4" spans="1:49">
      <c r="A4" s="165" t="s">
        <v>179</v>
      </c>
      <c r="B4" s="163">
        <v>43383</v>
      </c>
      <c r="C4" s="165" t="s">
        <v>124</v>
      </c>
      <c r="D4" s="224" t="s">
        <v>291</v>
      </c>
      <c r="E4" s="164">
        <v>110</v>
      </c>
      <c r="F4" s="164">
        <v>100</v>
      </c>
      <c r="G4" s="226"/>
      <c r="H4" s="164"/>
      <c r="I4" s="164">
        <v>10</v>
      </c>
      <c r="J4" s="164"/>
      <c r="K4" s="226"/>
      <c r="L4" s="164"/>
      <c r="M4" s="164"/>
      <c r="N4" s="164"/>
      <c r="O4" s="164"/>
      <c r="P4" s="164"/>
      <c r="Q4" s="164"/>
      <c r="R4" s="164"/>
      <c r="S4" s="164"/>
      <c r="T4" s="164"/>
      <c r="U4" s="164">
        <v>100</v>
      </c>
      <c r="V4" s="164"/>
      <c r="W4" s="164"/>
      <c r="X4" s="164"/>
      <c r="Y4" s="164"/>
      <c r="Z4" s="164"/>
      <c r="AA4" s="164"/>
      <c r="AB4" s="164"/>
      <c r="AC4" s="164"/>
      <c r="AD4" s="226"/>
      <c r="AE4" s="226"/>
      <c r="AF4" s="226"/>
      <c r="AG4" s="226"/>
      <c r="AH4" s="184"/>
      <c r="AI4" s="188"/>
      <c r="AJ4" s="329"/>
      <c r="AK4" s="228" t="str">
        <f>INDEX(ListeDesTaux,1,MATCH(LARGE(G4:J4,1),G4:J4,0))</f>
        <v>TVA
10 %</v>
      </c>
      <c r="AL4" s="514">
        <f>MONTH(Tableau7[[#This Row],[DATE]])</f>
        <v>10</v>
      </c>
      <c r="AM4" s="348" t="str">
        <f>Tableau7[[#This Row],[FACTURE 
NUMERO]]</f>
        <v>2018/VE/00002</v>
      </c>
      <c r="AN4" s="515" t="str">
        <f ca="1">IF($AH4="",IF($AS4&lt;0,"","Relancer"))</f>
        <v>Relancer</v>
      </c>
      <c r="AO4" s="516">
        <f>Tableau7[[#This Row],[TTC]]</f>
        <v>110</v>
      </c>
      <c r="AP4" s="297" t="str">
        <f>Tableau7[[#This Row],[CLIENT]]</f>
        <v>DI PIERRA</v>
      </c>
      <c r="AQ4" s="517">
        <f>Tableau7[[#This Row],[DATE]]</f>
        <v>43383</v>
      </c>
      <c r="AR4" s="324">
        <f>EOMONTH(AQ4+30,0)</f>
        <v>43434</v>
      </c>
      <c r="AS4" s="325">
        <f ca="1">IF(AH4="",$AO$1-$AR4,"Soldé")</f>
        <v>10</v>
      </c>
      <c r="AT4" s="323"/>
      <c r="AU4" s="323"/>
      <c r="AV4" s="323"/>
      <c r="AW4" s="323"/>
    </row>
    <row r="5" spans="1:49">
      <c r="A5" s="165" t="s">
        <v>180</v>
      </c>
      <c r="B5" s="163">
        <v>43385</v>
      </c>
      <c r="C5" s="165" t="s">
        <v>125</v>
      </c>
      <c r="D5" s="224" t="s">
        <v>293</v>
      </c>
      <c r="E5" s="164">
        <v>110</v>
      </c>
      <c r="F5" s="164">
        <v>100</v>
      </c>
      <c r="G5" s="226"/>
      <c r="H5" s="164"/>
      <c r="I5" s="164">
        <v>10</v>
      </c>
      <c r="J5" s="164"/>
      <c r="K5" s="226"/>
      <c r="L5" s="164"/>
      <c r="M5" s="164"/>
      <c r="N5" s="164"/>
      <c r="O5" s="164"/>
      <c r="P5" s="164"/>
      <c r="Q5" s="164"/>
      <c r="R5" s="164"/>
      <c r="S5" s="164"/>
      <c r="T5" s="164"/>
      <c r="U5" s="164">
        <v>100</v>
      </c>
      <c r="V5" s="164"/>
      <c r="W5" s="164"/>
      <c r="X5" s="164"/>
      <c r="Y5" s="164"/>
      <c r="Z5" s="164"/>
      <c r="AA5" s="164"/>
      <c r="AB5" s="164"/>
      <c r="AC5" s="164"/>
      <c r="AD5" s="226"/>
      <c r="AE5" s="226"/>
      <c r="AF5" s="226"/>
      <c r="AG5" s="226"/>
      <c r="AH5" s="184"/>
      <c r="AI5" s="188"/>
      <c r="AJ5" s="329"/>
      <c r="AK5" s="228" t="str">
        <f>INDEX(ListeDesTaux,1,MATCH(LARGE(G5:J5,1),G5:J5,0))</f>
        <v>TVA
10 %</v>
      </c>
      <c r="AL5" s="514">
        <f>MONTH(Tableau7[[#This Row],[DATE]])</f>
        <v>10</v>
      </c>
      <c r="AM5" s="348" t="str">
        <f>Tableau7[[#This Row],[FACTURE 
NUMERO]]</f>
        <v>2018/VE/00003</v>
      </c>
      <c r="AN5" s="515" t="str">
        <f ca="1">IF($AH5="",IF($AS5&lt;0,"","Relancer"))</f>
        <v>Relancer</v>
      </c>
      <c r="AO5" s="516">
        <f>Tableau7[[#This Row],[TTC]]</f>
        <v>110</v>
      </c>
      <c r="AP5" s="519" t="str">
        <f>Tableau7[[#This Row],[CLIENT]]</f>
        <v>MARCO</v>
      </c>
      <c r="AQ5" s="517">
        <f>Tableau7[[#This Row],[DATE]]</f>
        <v>43385</v>
      </c>
      <c r="AR5" s="324">
        <f>EOMONTH(AQ5+30,0)</f>
        <v>43434</v>
      </c>
      <c r="AS5" s="325">
        <f ca="1">IF(AH5="",$AO$1-$AR5,"Soldé")</f>
        <v>10</v>
      </c>
      <c r="AT5" s="323"/>
      <c r="AU5" s="323"/>
      <c r="AV5" s="323"/>
      <c r="AW5" s="323"/>
    </row>
    <row r="6" spans="1:49">
      <c r="A6" s="165" t="s">
        <v>181</v>
      </c>
      <c r="B6" s="163">
        <v>43420</v>
      </c>
      <c r="C6" s="165" t="s">
        <v>125</v>
      </c>
      <c r="D6" s="224" t="s">
        <v>293</v>
      </c>
      <c r="E6" s="164">
        <v>282.14999999999998</v>
      </c>
      <c r="F6" s="164">
        <v>256.5</v>
      </c>
      <c r="G6" s="518"/>
      <c r="H6" s="164"/>
      <c r="I6" s="164">
        <v>25.65</v>
      </c>
      <c r="J6" s="164"/>
      <c r="K6" s="518"/>
      <c r="L6" s="164"/>
      <c r="M6" s="164"/>
      <c r="N6" s="164"/>
      <c r="O6" s="164"/>
      <c r="P6" s="164"/>
      <c r="Q6" s="164"/>
      <c r="R6" s="164"/>
      <c r="S6" s="164"/>
      <c r="T6" s="164">
        <v>256.5</v>
      </c>
      <c r="U6" s="164"/>
      <c r="V6" s="164"/>
      <c r="W6" s="164"/>
      <c r="X6" s="164"/>
      <c r="Y6" s="164"/>
      <c r="Z6" s="164"/>
      <c r="AA6" s="164"/>
      <c r="AB6" s="164"/>
      <c r="AC6" s="164"/>
      <c r="AD6" s="518"/>
      <c r="AE6" s="518"/>
      <c r="AF6" s="518"/>
      <c r="AG6" s="518"/>
      <c r="AH6" s="184"/>
      <c r="AI6" s="188"/>
      <c r="AJ6" s="329"/>
      <c r="AK6" s="228" t="str">
        <f>INDEX(ListeDesTaux,1,MATCH(LARGE(G6:J6,1),G6:J6,0))</f>
        <v>TVA
10 %</v>
      </c>
      <c r="AL6" s="514">
        <f>MONTH(Tableau7[[#This Row],[DATE]])</f>
        <v>11</v>
      </c>
      <c r="AM6" s="348" t="str">
        <f>Tableau7[[#This Row],[FACTURE 
NUMERO]]</f>
        <v>2018/VE/00004</v>
      </c>
      <c r="AN6" s="515" t="str">
        <f ca="1">IF($AH6="",IF($AS6&lt;0,"","Relancer"))</f>
        <v/>
      </c>
      <c r="AO6" s="516">
        <f>Tableau7[[#This Row],[TTC]]</f>
        <v>282.14999999999998</v>
      </c>
      <c r="AP6" s="519" t="str">
        <f>Tableau7[[#This Row],[CLIENT]]</f>
        <v>MARCO</v>
      </c>
      <c r="AQ6" s="517">
        <f>Tableau7[[#This Row],[DATE]]</f>
        <v>43420</v>
      </c>
      <c r="AR6" s="324">
        <f>EOMONTH(AQ6+30,0)</f>
        <v>43465</v>
      </c>
      <c r="AS6" s="325">
        <f ca="1">IF(AH6="",$AO$1-$AR6,"Soldé")</f>
        <v>-21</v>
      </c>
      <c r="AT6" s="323"/>
      <c r="AU6" s="323"/>
      <c r="AV6" s="323"/>
      <c r="AW6" s="323"/>
    </row>
  </sheetData>
  <sheetProtection formatCells="0" formatColumns="0" deleteColumns="0" deleteRows="0"/>
  <mergeCells count="1">
    <mergeCell ref="A1:C1"/>
  </mergeCells>
  <conditionalFormatting sqref="E3:E6">
    <cfRule type="expression" dxfId="5" priority="36">
      <formula>AND($E3=SUM($F3:$J3))</formula>
    </cfRule>
  </conditionalFormatting>
  <conditionalFormatting sqref="F3:F6">
    <cfRule type="expression" dxfId="4" priority="37">
      <formula>AND($F3=SUM($K3:$AG3))</formula>
    </cfRule>
  </conditionalFormatting>
  <conditionalFormatting sqref="AS3:AS6">
    <cfRule type="cellIs" dxfId="3" priority="2" operator="notEqual">
      <formula>"Soldé"</formula>
    </cfRule>
  </conditionalFormatting>
  <dataValidations count="1">
    <dataValidation type="list" allowBlank="1" showInputMessage="1" showErrorMessage="1" sqref="AH3:AH6">
      <formula1>"ESP,CHQ,ESP/CHQ,VIR,AVOIR"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AI42"/>
  <sheetViews>
    <sheetView zoomScale="80" zoomScaleNormal="80" workbookViewId="0">
      <pane ySplit="2" topLeftCell="A3" activePane="bottomLeft" state="frozen"/>
      <selection activeCell="G1" sqref="G1"/>
      <selection pane="bottomLeft" activeCell="G28" sqref="G28"/>
    </sheetView>
  </sheetViews>
  <sheetFormatPr baseColWidth="10" defaultRowHeight="15"/>
  <cols>
    <col min="1" max="1" width="15.140625" style="32" customWidth="1"/>
    <col min="2" max="2" width="11.7109375" style="32" customWidth="1"/>
    <col min="3" max="3" width="23.140625" style="55" customWidth="1"/>
    <col min="4" max="4" width="25.42578125" style="58" customWidth="1"/>
    <col min="5" max="6" width="12.85546875" style="23" customWidth="1"/>
    <col min="7" max="27" width="15.42578125" style="50" customWidth="1"/>
    <col min="28" max="28" width="8.42578125" style="59" customWidth="1"/>
    <col min="29" max="29" width="11.42578125" style="59"/>
    <col min="30" max="30" width="8.5703125" style="59" customWidth="1"/>
    <col min="31" max="31" width="11.42578125" style="225"/>
    <col min="32" max="32" width="13" style="263" customWidth="1"/>
    <col min="33" max="33" width="26.42578125" style="22" customWidth="1"/>
    <col min="34" max="34" width="23" style="256" customWidth="1"/>
    <col min="35" max="35" width="15.85546875" style="63" customWidth="1"/>
    <col min="36" max="16384" width="11.42578125" style="22"/>
  </cols>
  <sheetData>
    <row r="1" spans="1:35" ht="36.75" customHeight="1">
      <c r="A1" s="481"/>
      <c r="B1" s="481"/>
      <c r="C1" s="481"/>
      <c r="E1" s="127">
        <f t="shared" ref="E1:AA1" si="0">SUM(E3:E436)</f>
        <v>29.9</v>
      </c>
      <c r="F1" s="127">
        <f>SUM(F3:F436)</f>
        <v>24.92</v>
      </c>
      <c r="G1" s="127">
        <f t="shared" si="0"/>
        <v>0</v>
      </c>
      <c r="H1" s="127">
        <f t="shared" si="0"/>
        <v>0</v>
      </c>
      <c r="I1" s="127">
        <f t="shared" si="0"/>
        <v>0</v>
      </c>
      <c r="J1" s="127">
        <f t="shared" si="0"/>
        <v>0</v>
      </c>
      <c r="K1" s="127">
        <f t="shared" si="0"/>
        <v>4.9800000000000004</v>
      </c>
      <c r="L1" s="127">
        <f t="shared" si="0"/>
        <v>0</v>
      </c>
      <c r="M1" s="127">
        <f t="shared" si="0"/>
        <v>0</v>
      </c>
      <c r="N1" s="127">
        <f t="shared" si="0"/>
        <v>0</v>
      </c>
      <c r="O1" s="127">
        <f t="shared" si="0"/>
        <v>0</v>
      </c>
      <c r="P1" s="127">
        <f t="shared" si="0"/>
        <v>0</v>
      </c>
      <c r="Q1" s="127">
        <f t="shared" si="0"/>
        <v>0</v>
      </c>
      <c r="R1" s="127">
        <f t="shared" si="0"/>
        <v>24.92</v>
      </c>
      <c r="S1" s="127">
        <f t="shared" si="0"/>
        <v>0</v>
      </c>
      <c r="T1" s="127">
        <f t="shared" si="0"/>
        <v>0</v>
      </c>
      <c r="U1" s="127">
        <f t="shared" si="0"/>
        <v>0</v>
      </c>
      <c r="V1" s="127">
        <f t="shared" si="0"/>
        <v>0</v>
      </c>
      <c r="W1" s="127">
        <f t="shared" si="0"/>
        <v>0</v>
      </c>
      <c r="X1" s="127">
        <f t="shared" si="0"/>
        <v>0</v>
      </c>
      <c r="Y1" s="127">
        <f t="shared" si="0"/>
        <v>0</v>
      </c>
      <c r="Z1" s="127">
        <f t="shared" si="0"/>
        <v>0</v>
      </c>
      <c r="AA1" s="127">
        <f t="shared" si="0"/>
        <v>0</v>
      </c>
    </row>
    <row r="2" spans="1:35" s="126" customFormat="1" ht="33.75" customHeight="1">
      <c r="A2" s="114" t="s">
        <v>128</v>
      </c>
      <c r="B2" s="115" t="s">
        <v>21</v>
      </c>
      <c r="C2" s="116" t="s">
        <v>129</v>
      </c>
      <c r="D2" s="115" t="s">
        <v>130</v>
      </c>
      <c r="E2" s="115" t="s">
        <v>22</v>
      </c>
      <c r="F2" s="115" t="s">
        <v>23</v>
      </c>
      <c r="G2" s="124" t="s">
        <v>131</v>
      </c>
      <c r="H2" s="124" t="s">
        <v>24</v>
      </c>
      <c r="I2" s="124" t="s">
        <v>25</v>
      </c>
      <c r="J2" s="124" t="s">
        <v>26</v>
      </c>
      <c r="K2" s="124" t="s">
        <v>27</v>
      </c>
      <c r="L2" s="124" t="s">
        <v>132</v>
      </c>
      <c r="M2" s="125" t="s">
        <v>133</v>
      </c>
      <c r="N2" s="125" t="s">
        <v>134</v>
      </c>
      <c r="O2" s="125" t="s">
        <v>135</v>
      </c>
      <c r="P2" s="124" t="s">
        <v>136</v>
      </c>
      <c r="Q2" s="124" t="s">
        <v>137</v>
      </c>
      <c r="R2" s="124" t="s">
        <v>138</v>
      </c>
      <c r="S2" s="124" t="s">
        <v>184</v>
      </c>
      <c r="T2" s="124" t="s">
        <v>139</v>
      </c>
      <c r="U2" s="124" t="s">
        <v>140</v>
      </c>
      <c r="V2" s="124" t="s">
        <v>141</v>
      </c>
      <c r="W2" s="124" t="s">
        <v>142</v>
      </c>
      <c r="X2" s="211" t="s">
        <v>143</v>
      </c>
      <c r="Y2" s="124" t="s">
        <v>144</v>
      </c>
      <c r="Z2" s="124" t="s">
        <v>145</v>
      </c>
      <c r="AA2" s="124" t="s">
        <v>146</v>
      </c>
      <c r="AB2" s="116" t="s">
        <v>147</v>
      </c>
      <c r="AC2" s="116" t="s">
        <v>38</v>
      </c>
      <c r="AD2" s="117" t="s">
        <v>39</v>
      </c>
      <c r="AE2" s="116" t="s">
        <v>167</v>
      </c>
      <c r="AF2" s="211" t="s">
        <v>224</v>
      </c>
      <c r="AG2" s="116" t="s">
        <v>265</v>
      </c>
      <c r="AH2" s="116" t="s">
        <v>264</v>
      </c>
      <c r="AI2" s="298" t="s">
        <v>261</v>
      </c>
    </row>
    <row r="3" spans="1:35" s="118" customFormat="1" ht="17.25" customHeight="1">
      <c r="A3" s="119" t="s">
        <v>183</v>
      </c>
      <c r="B3" s="120">
        <v>43115</v>
      </c>
      <c r="C3" s="121" t="s">
        <v>177</v>
      </c>
      <c r="D3" s="121" t="s">
        <v>185</v>
      </c>
      <c r="E3" s="205">
        <v>29.9</v>
      </c>
      <c r="F3" s="205">
        <v>24.92</v>
      </c>
      <c r="G3" s="128"/>
      <c r="H3" s="128"/>
      <c r="I3" s="128"/>
      <c r="J3" s="128"/>
      <c r="K3" s="128">
        <v>4.9800000000000004</v>
      </c>
      <c r="L3" s="128"/>
      <c r="M3" s="206"/>
      <c r="N3" s="206"/>
      <c r="O3" s="206"/>
      <c r="P3" s="128"/>
      <c r="Q3" s="128"/>
      <c r="R3" s="212">
        <v>24.92</v>
      </c>
      <c r="S3" s="128"/>
      <c r="T3" s="128"/>
      <c r="U3" s="128"/>
      <c r="V3" s="128"/>
      <c r="W3" s="128"/>
      <c r="X3" s="128"/>
      <c r="Y3" s="128"/>
      <c r="Z3" s="128"/>
      <c r="AA3" s="128"/>
      <c r="AB3" s="122" t="s">
        <v>126</v>
      </c>
      <c r="AC3" s="122">
        <v>8320266</v>
      </c>
      <c r="AD3" s="123" t="s">
        <v>245</v>
      </c>
      <c r="AE3" s="318">
        <f>MONTH(Tableau24[[#This Row],[DATE]])</f>
        <v>1</v>
      </c>
      <c r="AF3" s="319">
        <f>Tableau24[[#This Row],[TTC]]</f>
        <v>29.9</v>
      </c>
      <c r="AG3" s="299" t="str">
        <f>Tableau24[[#This Row],[FOURNISSEURS]]</f>
        <v>NATURA PRO</v>
      </c>
      <c r="AH3" s="318" t="str">
        <f>Tableau24[[#This Row],[FACTURE
NUMERO]]</f>
        <v>2018/AC/00001</v>
      </c>
      <c r="AI3" s="257">
        <f>Tableau24[[#This Row],[DATE]]</f>
        <v>43115</v>
      </c>
    </row>
    <row r="5" spans="1:35">
      <c r="AF5" s="262"/>
      <c r="AG5" s="56"/>
      <c r="AH5" s="229"/>
    </row>
    <row r="6" spans="1:35">
      <c r="AF6" s="262"/>
      <c r="AG6" s="56"/>
      <c r="AH6" s="229"/>
    </row>
    <row r="10" spans="1:35">
      <c r="AF10" s="262"/>
      <c r="AG10" s="56"/>
      <c r="AH10" s="229"/>
    </row>
    <row r="14" spans="1:35">
      <c r="AE14" s="229"/>
    </row>
    <row r="15" spans="1:35">
      <c r="AE15" s="229"/>
    </row>
    <row r="19" spans="31:34">
      <c r="AE19" s="229"/>
    </row>
    <row r="21" spans="31:34">
      <c r="AF21" s="262"/>
      <c r="AG21" s="56"/>
      <c r="AH21" s="229"/>
    </row>
    <row r="27" spans="31:34">
      <c r="AF27" s="262"/>
      <c r="AG27" s="56"/>
      <c r="AH27" s="229"/>
    </row>
    <row r="28" spans="31:34">
      <c r="AF28" s="262"/>
      <c r="AG28" s="57"/>
      <c r="AH28" s="229"/>
    </row>
    <row r="30" spans="31:34">
      <c r="AE30" s="229"/>
    </row>
    <row r="33" spans="31:34">
      <c r="AF33" s="262"/>
      <c r="AG33" s="57"/>
      <c r="AH33" s="229"/>
    </row>
    <row r="36" spans="31:34">
      <c r="AE36" s="229"/>
    </row>
    <row r="37" spans="31:34">
      <c r="AE37" s="229"/>
    </row>
    <row r="42" spans="31:34">
      <c r="AE42" s="229"/>
    </row>
  </sheetData>
  <mergeCells count="1">
    <mergeCell ref="A1:C1"/>
  </mergeCells>
  <conditionalFormatting sqref="E3">
    <cfRule type="expression" dxfId="9" priority="2">
      <formula>AND($E3=SUM($F3:$L3))</formula>
    </cfRule>
  </conditionalFormatting>
  <conditionalFormatting sqref="F3">
    <cfRule type="expression" dxfId="8" priority="1">
      <formula>AND($F3=SUM($M3:$AA3))</formula>
    </cfRule>
  </conditionalFormatting>
  <dataValidations count="2">
    <dataValidation type="list" allowBlank="1" showInputMessage="1" showErrorMessage="1" sqref="C3">
      <formula1>F</formula1>
    </dataValidation>
    <dataValidation type="list" allowBlank="1" showInputMessage="1" showErrorMessage="1" sqref="AB3">
      <formula1>"CHQ,ESP,VIR,PREL,AVOIR"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E3"/>
  <sheetViews>
    <sheetView zoomScale="80" zoomScaleNormal="80" workbookViewId="0">
      <selection activeCell="A88" sqref="A4:XFD88"/>
    </sheetView>
  </sheetViews>
  <sheetFormatPr baseColWidth="10" defaultRowHeight="15"/>
  <cols>
    <col min="1" max="1" width="18.5703125" style="22" customWidth="1"/>
    <col min="2" max="2" width="14.7109375" style="22" customWidth="1"/>
    <col min="3" max="3" width="19" style="22" customWidth="1"/>
    <col min="4" max="4" width="26.85546875" style="22" customWidth="1"/>
    <col min="5" max="6" width="11.7109375" style="22" bestFit="1" customWidth="1"/>
    <col min="7" max="9" width="11.42578125" style="22"/>
    <col min="10" max="13" width="11.7109375" style="22" bestFit="1" customWidth="1"/>
    <col min="14" max="14" width="11.42578125" style="22"/>
    <col min="15" max="15" width="11.7109375" style="22" bestFit="1" customWidth="1"/>
    <col min="16" max="16" width="11.42578125" style="22"/>
    <col min="17" max="17" width="14.85546875" style="22" customWidth="1"/>
    <col min="18" max="18" width="11.42578125" style="22"/>
    <col min="19" max="19" width="12.85546875" style="22" bestFit="1" customWidth="1"/>
    <col min="20" max="20" width="11.7109375" style="22" bestFit="1" customWidth="1"/>
    <col min="21" max="21" width="11.42578125" style="22"/>
    <col min="22" max="22" width="11.7109375" style="22" bestFit="1" customWidth="1"/>
    <col min="23" max="23" width="11.42578125" style="22"/>
    <col min="24" max="24" width="11.7109375" style="22" bestFit="1" customWidth="1"/>
    <col min="25" max="25" width="11.42578125" style="354"/>
    <col min="26" max="27" width="11.42578125" style="22"/>
    <col min="28" max="28" width="14" style="61" customWidth="1"/>
    <col min="29" max="29" width="18.7109375" style="22" customWidth="1"/>
    <col min="30" max="30" width="24.140625" style="22" customWidth="1"/>
    <col min="31" max="31" width="24.28515625" style="22" customWidth="1"/>
    <col min="32" max="16384" width="11.42578125" style="22"/>
  </cols>
  <sheetData>
    <row r="1" spans="1:31" ht="31.5" customHeight="1">
      <c r="A1" s="482"/>
      <c r="B1" s="482"/>
      <c r="C1" s="482"/>
    </row>
    <row r="2" spans="1:31" s="192" customFormat="1" ht="33.75">
      <c r="A2" s="193" t="s">
        <v>148</v>
      </c>
      <c r="B2" s="194" t="s">
        <v>21</v>
      </c>
      <c r="C2" s="195" t="s">
        <v>129</v>
      </c>
      <c r="D2" s="195" t="s">
        <v>130</v>
      </c>
      <c r="E2" s="196" t="s">
        <v>149</v>
      </c>
      <c r="F2" s="196" t="s">
        <v>150</v>
      </c>
      <c r="G2" s="196" t="s">
        <v>4</v>
      </c>
      <c r="H2" s="196" t="s">
        <v>151</v>
      </c>
      <c r="I2" s="196" t="s">
        <v>152</v>
      </c>
      <c r="J2" s="196" t="s">
        <v>153</v>
      </c>
      <c r="K2" s="196" t="s">
        <v>154</v>
      </c>
      <c r="L2" s="196" t="s">
        <v>155</v>
      </c>
      <c r="M2" s="196" t="s">
        <v>156</v>
      </c>
      <c r="N2" s="196" t="s">
        <v>157</v>
      </c>
      <c r="O2" s="196" t="s">
        <v>158</v>
      </c>
      <c r="P2" s="196" t="s">
        <v>159</v>
      </c>
      <c r="Q2" s="196" t="s">
        <v>287</v>
      </c>
      <c r="R2" s="196" t="s">
        <v>160</v>
      </c>
      <c r="S2" s="196" t="s">
        <v>161</v>
      </c>
      <c r="T2" s="196" t="s">
        <v>162</v>
      </c>
      <c r="U2" s="196" t="s">
        <v>163</v>
      </c>
      <c r="V2" s="196" t="s">
        <v>243</v>
      </c>
      <c r="W2" s="196" t="s">
        <v>164</v>
      </c>
      <c r="X2" s="196" t="s">
        <v>165</v>
      </c>
      <c r="Y2" s="60" t="s">
        <v>147</v>
      </c>
      <c r="Z2" s="191" t="s">
        <v>166</v>
      </c>
      <c r="AA2" s="191" t="s">
        <v>39</v>
      </c>
      <c r="AB2" s="191" t="s">
        <v>22</v>
      </c>
      <c r="AC2" s="191" t="s">
        <v>169</v>
      </c>
      <c r="AD2" s="191" t="s">
        <v>255</v>
      </c>
      <c r="AE2" s="191" t="s">
        <v>257</v>
      </c>
    </row>
    <row r="3" spans="1:31">
      <c r="A3" s="197" t="s">
        <v>186</v>
      </c>
      <c r="B3" s="198">
        <v>43116</v>
      </c>
      <c r="C3" s="199" t="s">
        <v>176</v>
      </c>
      <c r="D3" s="200" t="s">
        <v>244</v>
      </c>
      <c r="E3" s="201"/>
      <c r="F3" s="201"/>
      <c r="G3" s="201"/>
      <c r="H3" s="201"/>
      <c r="I3" s="201"/>
      <c r="J3" s="201"/>
      <c r="K3" s="201">
        <v>261.07</v>
      </c>
      <c r="L3" s="201"/>
      <c r="M3" s="201"/>
      <c r="N3" s="202"/>
      <c r="O3" s="202"/>
      <c r="P3" s="202"/>
      <c r="Q3" s="355"/>
      <c r="R3" s="355"/>
      <c r="S3" s="356"/>
      <c r="T3" s="356"/>
      <c r="U3" s="356"/>
      <c r="V3" s="356"/>
      <c r="W3" s="356"/>
      <c r="X3" s="356"/>
      <c r="Y3" s="197" t="s">
        <v>126</v>
      </c>
      <c r="Z3" s="203">
        <v>8320253</v>
      </c>
      <c r="AA3" s="204" t="s">
        <v>245</v>
      </c>
      <c r="AB3" s="61">
        <f>SUM(Tableau12[[#This Row],[Factures
ss TVA]:[PAC]])</f>
        <v>261.07</v>
      </c>
      <c r="AC3" s="255" t="str">
        <f>Tableau12[[#This Row],[NUMERO
FACTURE]]</f>
        <v>2018/OD/00001</v>
      </c>
      <c r="AD3" s="62" t="str">
        <f>Tableau12[[#This Row],[FOURNISSEURS]]</f>
        <v>MSA</v>
      </c>
      <c r="AE3" s="62" t="str">
        <f>Tableau12[[#This Row],[LIBELLES]]</f>
        <v>PENALITES 2017</v>
      </c>
    </row>
  </sheetData>
  <mergeCells count="1">
    <mergeCell ref="A1:C1"/>
  </mergeCells>
  <dataValidations count="1">
    <dataValidation type="list" allowBlank="1" showInputMessage="1" showErrorMessage="1" sqref="Y3">
      <formula1>"ESP,CHQ,PREL,VIR,AVOIR"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0"/>
  <dimension ref="A1:F2"/>
  <sheetViews>
    <sheetView workbookViewId="0">
      <selection activeCell="A3" sqref="A3"/>
    </sheetView>
  </sheetViews>
  <sheetFormatPr baseColWidth="10" defaultRowHeight="15"/>
  <cols>
    <col min="1" max="1" width="11.42578125" customWidth="1"/>
    <col min="3" max="3" width="34.42578125" customWidth="1"/>
    <col min="4" max="4" width="11.42578125" customWidth="1"/>
  </cols>
  <sheetData>
    <row r="1" spans="1:6" ht="24">
      <c r="A1" s="258" t="s">
        <v>20</v>
      </c>
      <c r="B1" s="258" t="s">
        <v>21</v>
      </c>
      <c r="C1" s="259" t="s">
        <v>123</v>
      </c>
      <c r="D1" s="260" t="s">
        <v>22</v>
      </c>
      <c r="E1" s="258" t="s">
        <v>242</v>
      </c>
      <c r="F1" s="261" t="s">
        <v>38</v>
      </c>
    </row>
    <row r="2" spans="1:6">
      <c r="A2" t="str">
        <f>IF(VE!AH3="ESP",VE!A3,"")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/>
  <dimension ref="A1:I44"/>
  <sheetViews>
    <sheetView zoomScale="80" zoomScaleNormal="80" workbookViewId="0">
      <selection activeCell="I12" sqref="I12"/>
    </sheetView>
  </sheetViews>
  <sheetFormatPr baseColWidth="10" defaultRowHeight="15"/>
  <cols>
    <col min="1" max="1" width="18.42578125" style="74" customWidth="1"/>
    <col min="2" max="2" width="19.42578125" style="280" customWidth="1"/>
    <col min="3" max="3" width="28.7109375" style="309" customWidth="1"/>
    <col min="4" max="4" width="30.42578125" style="75" customWidth="1"/>
    <col min="5" max="7" width="15" style="76" customWidth="1"/>
    <col min="8" max="8" width="19.5703125" style="77" customWidth="1"/>
    <col min="9" max="16384" width="11.42578125" style="77"/>
  </cols>
  <sheetData>
    <row r="1" spans="1:8" s="67" customFormat="1" ht="53.25" customHeight="1">
      <c r="A1" s="64"/>
      <c r="B1" s="314"/>
      <c r="C1" s="306"/>
      <c r="D1" s="65"/>
      <c r="E1" s="66">
        <f>SUM(E3:E300)</f>
        <v>0</v>
      </c>
      <c r="F1" s="66">
        <f>SUM(F3:F300)</f>
        <v>0</v>
      </c>
      <c r="G1" s="66">
        <f>F1-E1</f>
        <v>0</v>
      </c>
      <c r="H1" s="512"/>
    </row>
    <row r="2" spans="1:8" s="73" customFormat="1" ht="15.75">
      <c r="A2" s="68" t="s">
        <v>169</v>
      </c>
      <c r="B2" s="315" t="s">
        <v>21</v>
      </c>
      <c r="C2" s="307" t="s">
        <v>130</v>
      </c>
      <c r="D2" s="69" t="s">
        <v>170</v>
      </c>
      <c r="E2" s="70" t="s">
        <v>171</v>
      </c>
      <c r="F2" s="71" t="s">
        <v>172</v>
      </c>
      <c r="G2" s="72" t="s">
        <v>173</v>
      </c>
    </row>
    <row r="3" spans="1:8" ht="15.75">
      <c r="A3" s="267"/>
      <c r="B3" s="267"/>
      <c r="C3" s="208"/>
      <c r="D3" s="305"/>
      <c r="E3" s="510"/>
      <c r="F3" s="269"/>
      <c r="G3" s="209">
        <f>IF(E3=33,H1+F3,H1-E3)</f>
        <v>0</v>
      </c>
    </row>
    <row r="4" spans="1:8" ht="15.75">
      <c r="A4" s="267"/>
      <c r="B4" s="267"/>
      <c r="C4" s="208"/>
      <c r="D4" s="305"/>
      <c r="E4" s="510"/>
      <c r="F4" s="269"/>
      <c r="G4" s="209">
        <f>IF(E4="",G3+F4,G3-E4)</f>
        <v>0</v>
      </c>
    </row>
    <row r="5" spans="1:8" ht="15.75">
      <c r="A5" s="270"/>
      <c r="B5" s="271"/>
      <c r="C5" s="303"/>
      <c r="D5" s="272"/>
      <c r="E5" s="273"/>
      <c r="F5" s="210"/>
      <c r="G5" s="209">
        <f>IF(E5="",G4+F5,G4-E5)</f>
        <v>0</v>
      </c>
    </row>
    <row r="6" spans="1:8" ht="15.75">
      <c r="A6" s="270"/>
      <c r="B6" s="271"/>
      <c r="C6" s="303"/>
      <c r="D6" s="272"/>
      <c r="E6" s="273"/>
      <c r="F6" s="210"/>
      <c r="G6" s="209">
        <f>IF(E6="",G5+F6,G5-E6)</f>
        <v>0</v>
      </c>
    </row>
    <row r="7" spans="1:8" ht="15.75">
      <c r="A7" s="274"/>
      <c r="B7" s="275"/>
      <c r="C7" s="304"/>
      <c r="D7" s="272"/>
      <c r="E7" s="511"/>
      <c r="F7" s="210"/>
      <c r="G7" s="209">
        <f>IF(E7="",G6+F7,G6-E7)</f>
        <v>0</v>
      </c>
    </row>
    <row r="8" spans="1:8" ht="15.75">
      <c r="A8" s="271"/>
      <c r="B8" s="271"/>
      <c r="C8" s="303"/>
      <c r="D8" s="272"/>
      <c r="E8" s="302"/>
      <c r="F8" s="302"/>
      <c r="G8" s="209">
        <f>IF(E8="",G7+F8,G7-E8)</f>
        <v>0</v>
      </c>
    </row>
    <row r="9" spans="1:8" ht="15.75">
      <c r="A9" s="271"/>
      <c r="B9" s="271"/>
      <c r="C9" s="303"/>
      <c r="D9" s="272"/>
      <c r="E9" s="302"/>
      <c r="F9" s="302"/>
      <c r="G9" s="209">
        <f>IF(E9="",G8+F9,G8-E9)</f>
        <v>0</v>
      </c>
    </row>
    <row r="10" spans="1:8" ht="15.75">
      <c r="A10" s="267"/>
      <c r="B10" s="267"/>
      <c r="C10" s="208"/>
      <c r="D10" s="305"/>
      <c r="E10" s="302"/>
      <c r="F10" s="269"/>
      <c r="G10" s="209">
        <f t="shared" ref="G10:G44" si="0">IF(E10="",G9+F10,G9-E10)</f>
        <v>0</v>
      </c>
    </row>
    <row r="11" spans="1:8" ht="15.75">
      <c r="A11" s="274"/>
      <c r="B11" s="275"/>
      <c r="C11" s="304"/>
      <c r="D11" s="272"/>
      <c r="E11" s="277"/>
      <c r="F11" s="210"/>
      <c r="G11" s="209">
        <f t="shared" si="0"/>
        <v>0</v>
      </c>
    </row>
    <row r="12" spans="1:8" ht="15.75">
      <c r="A12" s="267"/>
      <c r="B12" s="267"/>
      <c r="C12" s="208"/>
      <c r="D12" s="305"/>
      <c r="E12" s="268"/>
      <c r="F12" s="269"/>
      <c r="G12" s="209">
        <f t="shared" si="0"/>
        <v>0</v>
      </c>
    </row>
    <row r="13" spans="1:8" ht="15.75">
      <c r="A13" s="267"/>
      <c r="B13" s="267"/>
      <c r="C13" s="208"/>
      <c r="D13" s="305"/>
      <c r="E13" s="268"/>
      <c r="F13" s="210"/>
      <c r="G13" s="209">
        <f t="shared" si="0"/>
        <v>0</v>
      </c>
    </row>
    <row r="14" spans="1:8" ht="15.75">
      <c r="A14" s="274"/>
      <c r="B14" s="275"/>
      <c r="C14" s="304"/>
      <c r="D14" s="272"/>
      <c r="E14" s="277"/>
      <c r="F14" s="210"/>
      <c r="G14" s="209">
        <f t="shared" si="0"/>
        <v>0</v>
      </c>
    </row>
    <row r="15" spans="1:8" ht="15.75">
      <c r="A15" s="270"/>
      <c r="B15" s="275"/>
      <c r="C15" s="304"/>
      <c r="D15" s="276"/>
      <c r="E15" s="273"/>
      <c r="F15" s="210"/>
      <c r="G15" s="209">
        <f t="shared" si="0"/>
        <v>0</v>
      </c>
    </row>
    <row r="16" spans="1:8" ht="15.75">
      <c r="A16" s="270"/>
      <c r="B16" s="275"/>
      <c r="C16" s="304"/>
      <c r="D16" s="276"/>
      <c r="E16" s="273"/>
      <c r="F16" s="210"/>
      <c r="G16" s="209">
        <f t="shared" si="0"/>
        <v>0</v>
      </c>
    </row>
    <row r="17" spans="1:9" ht="15.75">
      <c r="A17" s="267"/>
      <c r="B17" s="267"/>
      <c r="C17" s="300"/>
      <c r="D17" s="305"/>
      <c r="E17" s="301"/>
      <c r="F17" s="210"/>
      <c r="G17" s="209">
        <f t="shared" si="0"/>
        <v>0</v>
      </c>
    </row>
    <row r="18" spans="1:9" ht="15.75">
      <c r="A18" s="267"/>
      <c r="B18" s="267"/>
      <c r="C18" s="208"/>
      <c r="D18" s="305"/>
      <c r="E18" s="268"/>
      <c r="F18" s="284"/>
      <c r="G18" s="209">
        <f t="shared" si="0"/>
        <v>0</v>
      </c>
    </row>
    <row r="19" spans="1:9" ht="15.75">
      <c r="A19" s="267"/>
      <c r="B19" s="267"/>
      <c r="C19" s="208"/>
      <c r="D19" s="305"/>
      <c r="E19" s="268"/>
      <c r="F19" s="210"/>
      <c r="G19" s="209">
        <f t="shared" si="0"/>
        <v>0</v>
      </c>
    </row>
    <row r="20" spans="1:9" ht="15.75">
      <c r="A20" s="270"/>
      <c r="B20" s="275"/>
      <c r="C20" s="304"/>
      <c r="D20" s="276"/>
      <c r="E20" s="273"/>
      <c r="F20" s="210"/>
      <c r="G20" s="209">
        <f t="shared" si="0"/>
        <v>0</v>
      </c>
    </row>
    <row r="21" spans="1:9" ht="15.75">
      <c r="A21" s="278"/>
      <c r="B21" s="279"/>
      <c r="C21" s="308"/>
      <c r="D21" s="305"/>
      <c r="E21" s="268"/>
      <c r="F21" s="269"/>
      <c r="G21" s="209">
        <f t="shared" si="0"/>
        <v>0</v>
      </c>
    </row>
    <row r="22" spans="1:9" ht="15.75">
      <c r="A22" s="267"/>
      <c r="B22" s="267"/>
      <c r="C22" s="208"/>
      <c r="D22" s="305"/>
      <c r="E22" s="268"/>
      <c r="F22" s="210"/>
      <c r="G22" s="209">
        <f t="shared" si="0"/>
        <v>0</v>
      </c>
    </row>
    <row r="23" spans="1:9" ht="15.75">
      <c r="A23" s="267"/>
      <c r="B23" s="267"/>
      <c r="C23" s="300"/>
      <c r="D23" s="305"/>
      <c r="E23" s="301"/>
      <c r="F23" s="210"/>
      <c r="G23" s="209">
        <f t="shared" si="0"/>
        <v>0</v>
      </c>
    </row>
    <row r="24" spans="1:9" ht="15.75">
      <c r="A24" s="267"/>
      <c r="B24" s="267"/>
      <c r="C24" s="300"/>
      <c r="D24" s="305"/>
      <c r="E24" s="301"/>
      <c r="F24" s="210"/>
      <c r="G24" s="209">
        <f t="shared" si="0"/>
        <v>0</v>
      </c>
    </row>
    <row r="25" spans="1:9" ht="15.75">
      <c r="A25" s="267"/>
      <c r="B25" s="267"/>
      <c r="C25" s="208"/>
      <c r="D25" s="305"/>
      <c r="E25" s="268"/>
      <c r="F25" s="284"/>
      <c r="G25" s="209">
        <f t="shared" si="0"/>
        <v>0</v>
      </c>
    </row>
    <row r="26" spans="1:9" ht="15.75">
      <c r="A26" s="267"/>
      <c r="B26" s="267"/>
      <c r="C26" s="208"/>
      <c r="D26" s="305"/>
      <c r="E26" s="268"/>
      <c r="F26" s="210"/>
      <c r="G26" s="209">
        <f t="shared" si="0"/>
        <v>0</v>
      </c>
      <c r="H26" s="282"/>
      <c r="I26" s="283"/>
    </row>
    <row r="27" spans="1:9" ht="15.75">
      <c r="A27" s="267"/>
      <c r="B27" s="267"/>
      <c r="C27" s="208"/>
      <c r="D27" s="305"/>
      <c r="E27" s="268"/>
      <c r="F27" s="210"/>
      <c r="G27" s="209">
        <f t="shared" si="0"/>
        <v>0</v>
      </c>
    </row>
    <row r="28" spans="1:9" ht="15.75">
      <c r="A28" s="267"/>
      <c r="B28" s="267"/>
      <c r="C28" s="208"/>
      <c r="D28" s="305"/>
      <c r="E28" s="268"/>
      <c r="F28" s="210"/>
      <c r="G28" s="209">
        <f t="shared" si="0"/>
        <v>0</v>
      </c>
    </row>
    <row r="29" spans="1:9" ht="15.75">
      <c r="A29" s="267"/>
      <c r="B29" s="267"/>
      <c r="C29" s="300"/>
      <c r="D29" s="305"/>
      <c r="E29" s="301"/>
      <c r="F29" s="210"/>
      <c r="G29" s="209">
        <f t="shared" si="0"/>
        <v>0</v>
      </c>
    </row>
    <row r="30" spans="1:9" ht="15.75">
      <c r="A30" s="267"/>
      <c r="B30" s="267"/>
      <c r="C30" s="300"/>
      <c r="D30" s="305"/>
      <c r="E30" s="301"/>
      <c r="F30" s="210"/>
      <c r="G30" s="209">
        <f t="shared" si="0"/>
        <v>0</v>
      </c>
    </row>
    <row r="31" spans="1:9" ht="15.75">
      <c r="A31" s="267"/>
      <c r="B31" s="267"/>
      <c r="C31" s="300"/>
      <c r="D31" s="305"/>
      <c r="E31" s="301"/>
      <c r="F31" s="210"/>
      <c r="G31" s="209">
        <f t="shared" si="0"/>
        <v>0</v>
      </c>
    </row>
    <row r="32" spans="1:9" ht="15.75">
      <c r="A32" s="267"/>
      <c r="B32" s="267"/>
      <c r="C32" s="208"/>
      <c r="D32" s="305"/>
      <c r="E32" s="268"/>
      <c r="F32" s="210"/>
      <c r="G32" s="209">
        <f t="shared" si="0"/>
        <v>0</v>
      </c>
    </row>
    <row r="33" spans="1:7" ht="15.75">
      <c r="A33" s="267"/>
      <c r="B33" s="267"/>
      <c r="C33" s="300"/>
      <c r="D33" s="305"/>
      <c r="E33" s="301"/>
      <c r="F33" s="210"/>
      <c r="G33" s="209">
        <f t="shared" si="0"/>
        <v>0</v>
      </c>
    </row>
    <row r="34" spans="1:7" ht="15.75">
      <c r="A34" s="271"/>
      <c r="B34" s="271"/>
      <c r="C34" s="303"/>
      <c r="D34" s="272"/>
      <c r="E34" s="302"/>
      <c r="F34" s="302"/>
      <c r="G34" s="209">
        <f t="shared" si="0"/>
        <v>0</v>
      </c>
    </row>
    <row r="35" spans="1:7" ht="15.75">
      <c r="A35" s="271"/>
      <c r="B35" s="271"/>
      <c r="C35" s="303"/>
      <c r="D35" s="272"/>
      <c r="E35" s="302"/>
      <c r="F35" s="302"/>
      <c r="G35" s="209">
        <f t="shared" si="0"/>
        <v>0</v>
      </c>
    </row>
    <row r="36" spans="1:7" ht="15.75">
      <c r="A36" s="267"/>
      <c r="B36" s="267"/>
      <c r="C36" s="300"/>
      <c r="D36" s="305"/>
      <c r="E36" s="301"/>
      <c r="F36" s="284"/>
      <c r="G36" s="209">
        <f t="shared" si="0"/>
        <v>0</v>
      </c>
    </row>
    <row r="37" spans="1:7" ht="15.75">
      <c r="A37" s="271"/>
      <c r="B37" s="271"/>
      <c r="C37" s="303"/>
      <c r="D37" s="272"/>
      <c r="E37" s="302"/>
      <c r="F37" s="302"/>
      <c r="G37" s="209">
        <f t="shared" si="0"/>
        <v>0</v>
      </c>
    </row>
    <row r="38" spans="1:7" ht="15.75">
      <c r="A38" s="271"/>
      <c r="B38" s="316"/>
      <c r="C38" s="303"/>
      <c r="D38" s="272"/>
      <c r="E38" s="302"/>
      <c r="F38" s="302"/>
      <c r="G38" s="209">
        <f t="shared" si="0"/>
        <v>0</v>
      </c>
    </row>
    <row r="39" spans="1:7" ht="15.75">
      <c r="A39" s="271"/>
      <c r="B39" s="316"/>
      <c r="C39" s="303"/>
      <c r="D39" s="272"/>
      <c r="E39" s="302"/>
      <c r="F39" s="302"/>
      <c r="G39" s="209">
        <f t="shared" si="0"/>
        <v>0</v>
      </c>
    </row>
    <row r="40" spans="1:7" ht="15.75">
      <c r="A40" s="310"/>
      <c r="B40" s="317"/>
      <c r="C40" s="311"/>
      <c r="D40" s="312"/>
      <c r="E40" s="313"/>
      <c r="F40" s="313"/>
      <c r="G40" s="209">
        <f t="shared" si="0"/>
        <v>0</v>
      </c>
    </row>
    <row r="41" spans="1:7" ht="15.75">
      <c r="A41" s="310"/>
      <c r="B41" s="317"/>
      <c r="C41" s="311"/>
      <c r="D41" s="312"/>
      <c r="E41" s="313"/>
      <c r="F41" s="313"/>
      <c r="G41" s="209">
        <f t="shared" si="0"/>
        <v>0</v>
      </c>
    </row>
    <row r="42" spans="1:7" ht="15.75">
      <c r="A42" s="310"/>
      <c r="B42" s="317"/>
      <c r="C42" s="311"/>
      <c r="D42" s="312"/>
      <c r="E42" s="313"/>
      <c r="F42" s="313"/>
      <c r="G42" s="209">
        <f t="shared" si="0"/>
        <v>0</v>
      </c>
    </row>
    <row r="43" spans="1:7" ht="15.75">
      <c r="A43" s="310"/>
      <c r="B43" s="317"/>
      <c r="C43" s="311"/>
      <c r="D43" s="312"/>
      <c r="E43" s="313"/>
      <c r="F43" s="313"/>
      <c r="G43" s="209">
        <f t="shared" si="0"/>
        <v>0</v>
      </c>
    </row>
    <row r="44" spans="1:7" ht="15.75">
      <c r="A44" s="310"/>
      <c r="B44" s="317"/>
      <c r="C44" s="311"/>
      <c r="D44" s="312"/>
      <c r="E44" s="313"/>
      <c r="F44" s="313"/>
      <c r="G44" s="209">
        <f t="shared" si="0"/>
        <v>0</v>
      </c>
    </row>
  </sheetData>
  <conditionalFormatting sqref="C14:C18 C3:C9">
    <cfRule type="containsErrors" dxfId="6" priority="9">
      <formula>ISERROR(C3)</formula>
    </cfRule>
  </conditionalFormatting>
  <dataValidations count="1">
    <dataValidation type="list" allowBlank="1" showInputMessage="1" showErrorMessage="1" sqref="C10">
      <formula1>F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"/>
  <dimension ref="A1:D26"/>
  <sheetViews>
    <sheetView zoomScale="80" zoomScaleNormal="80" workbookViewId="0">
      <selection activeCell="A2" sqref="A2:D12"/>
    </sheetView>
  </sheetViews>
  <sheetFormatPr baseColWidth="10" defaultRowHeight="15"/>
  <cols>
    <col min="1" max="1" width="14.140625" style="54" customWidth="1"/>
    <col min="2" max="2" width="24" style="54" customWidth="1"/>
    <col min="3" max="3" width="21.42578125" style="47" customWidth="1"/>
    <col min="4" max="4" width="16.140625" style="22" customWidth="1"/>
    <col min="5" max="16384" width="11.42578125" style="22"/>
  </cols>
  <sheetData>
    <row r="1" spans="1:4" ht="15.75">
      <c r="A1" s="78" t="s">
        <v>21</v>
      </c>
      <c r="B1" s="79" t="s">
        <v>174</v>
      </c>
      <c r="C1" s="79" t="s">
        <v>130</v>
      </c>
      <c r="D1" s="80" t="s">
        <v>22</v>
      </c>
    </row>
    <row r="2" spans="1:4">
      <c r="A2" s="285"/>
      <c r="B2" s="286"/>
      <c r="C2" s="287"/>
      <c r="D2" s="288"/>
    </row>
    <row r="3" spans="1:4">
      <c r="A3" s="289"/>
      <c r="B3" s="290"/>
      <c r="C3" s="291"/>
      <c r="D3" s="292"/>
    </row>
    <row r="4" spans="1:4">
      <c r="A4" s="289"/>
      <c r="B4" s="290"/>
      <c r="C4" s="291"/>
      <c r="D4" s="292"/>
    </row>
    <row r="5" spans="1:4">
      <c r="A5" s="289"/>
      <c r="B5" s="290"/>
      <c r="C5" s="291"/>
      <c r="D5" s="292"/>
    </row>
    <row r="6" spans="1:4">
      <c r="A6" s="289"/>
      <c r="B6" s="290"/>
      <c r="C6" s="291"/>
      <c r="D6" s="292"/>
    </row>
    <row r="7" spans="1:4">
      <c r="A7" s="289"/>
      <c r="B7" s="290"/>
      <c r="C7" s="291"/>
      <c r="D7" s="292"/>
    </row>
    <row r="8" spans="1:4">
      <c r="A8" s="289"/>
      <c r="B8" s="290"/>
      <c r="C8" s="291"/>
      <c r="D8" s="292"/>
    </row>
    <row r="9" spans="1:4">
      <c r="A9" s="289"/>
      <c r="B9" s="290"/>
      <c r="C9" s="291"/>
      <c r="D9" s="292"/>
    </row>
    <row r="10" spans="1:4">
      <c r="A10" s="289"/>
      <c r="B10" s="290"/>
      <c r="C10" s="291"/>
      <c r="D10" s="292"/>
    </row>
    <row r="11" spans="1:4">
      <c r="A11" s="289"/>
      <c r="B11" s="290"/>
      <c r="C11" s="291"/>
      <c r="D11" s="292"/>
    </row>
    <row r="12" spans="1:4">
      <c r="A12" s="289"/>
      <c r="B12" s="290"/>
      <c r="C12" s="291"/>
      <c r="D12" s="292"/>
    </row>
    <row r="13" spans="1:4">
      <c r="A13" s="63"/>
    </row>
    <row r="14" spans="1:4">
      <c r="A14" s="63"/>
    </row>
    <row r="15" spans="1:4">
      <c r="A15" s="63"/>
    </row>
    <row r="16" spans="1:4">
      <c r="A16" s="63"/>
    </row>
    <row r="17" spans="1:1">
      <c r="A17" s="63"/>
    </row>
    <row r="18" spans="1:1">
      <c r="A18" s="63"/>
    </row>
    <row r="19" spans="1:1">
      <c r="A19" s="63"/>
    </row>
    <row r="20" spans="1:1">
      <c r="A20" s="63"/>
    </row>
    <row r="21" spans="1:1">
      <c r="A21" s="63"/>
    </row>
    <row r="22" spans="1:1">
      <c r="A22" s="63"/>
    </row>
    <row r="23" spans="1:1">
      <c r="A23" s="63"/>
    </row>
    <row r="24" spans="1:1">
      <c r="A24" s="63"/>
    </row>
    <row r="25" spans="1:1">
      <c r="A25" s="63"/>
    </row>
    <row r="26" spans="1:1">
      <c r="A26" s="63"/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"/>
  <dimension ref="A1:F62"/>
  <sheetViews>
    <sheetView workbookViewId="0">
      <selection activeCell="A22" sqref="A22"/>
    </sheetView>
  </sheetViews>
  <sheetFormatPr baseColWidth="10" defaultRowHeight="15"/>
  <cols>
    <col min="1" max="1" width="26" customWidth="1"/>
  </cols>
  <sheetData>
    <row r="1" spans="1:6" ht="23.25" customHeight="1">
      <c r="A1" s="378" t="s">
        <v>16</v>
      </c>
      <c r="B1" s="17" t="s">
        <v>17</v>
      </c>
      <c r="C1" s="17" t="s">
        <v>18</v>
      </c>
      <c r="D1" s="377" t="s">
        <v>10</v>
      </c>
      <c r="F1" s="22" t="s">
        <v>70</v>
      </c>
    </row>
    <row r="2" spans="1:6">
      <c r="A2" s="357" t="s">
        <v>40</v>
      </c>
      <c r="B2" s="358">
        <v>1.0900000000000001</v>
      </c>
      <c r="C2" s="359">
        <v>5.5E-2</v>
      </c>
      <c r="D2" s="360" t="s">
        <v>10</v>
      </c>
      <c r="F2" s="22" t="s">
        <v>71</v>
      </c>
    </row>
    <row r="3" spans="1:6">
      <c r="A3" s="357" t="s">
        <v>41</v>
      </c>
      <c r="B3" s="358">
        <v>1.1399999999999999</v>
      </c>
      <c r="C3" s="359">
        <v>5.5E-2</v>
      </c>
      <c r="D3" s="360" t="s">
        <v>10</v>
      </c>
      <c r="F3" s="22" t="s">
        <v>72</v>
      </c>
    </row>
    <row r="4" spans="1:6">
      <c r="A4" s="357" t="s">
        <v>42</v>
      </c>
      <c r="B4" s="358">
        <v>18.96</v>
      </c>
      <c r="C4" s="359">
        <v>5.5E-2</v>
      </c>
      <c r="D4" s="360" t="s">
        <v>19</v>
      </c>
      <c r="F4" s="22" t="s">
        <v>73</v>
      </c>
    </row>
    <row r="5" spans="1:6">
      <c r="A5" s="357" t="s">
        <v>43</v>
      </c>
      <c r="B5" s="358">
        <v>4.74</v>
      </c>
      <c r="C5" s="359">
        <v>5.5E-2</v>
      </c>
      <c r="D5" s="360" t="s">
        <v>10</v>
      </c>
      <c r="F5" s="22" t="s">
        <v>74</v>
      </c>
    </row>
    <row r="6" spans="1:6">
      <c r="A6" s="357" t="s">
        <v>44</v>
      </c>
      <c r="B6" s="358">
        <v>6.64</v>
      </c>
      <c r="C6" s="359">
        <v>5.5E-2</v>
      </c>
      <c r="D6" s="360" t="s">
        <v>10</v>
      </c>
      <c r="F6" s="22" t="s">
        <v>75</v>
      </c>
    </row>
    <row r="7" spans="1:6">
      <c r="A7" s="357" t="s">
        <v>45</v>
      </c>
      <c r="B7" s="358">
        <v>2.84</v>
      </c>
      <c r="C7" s="359">
        <v>5.5E-2</v>
      </c>
      <c r="D7" s="360" t="s">
        <v>10</v>
      </c>
      <c r="F7" s="22" t="s">
        <v>76</v>
      </c>
    </row>
    <row r="8" spans="1:6">
      <c r="A8" s="357" t="s">
        <v>46</v>
      </c>
      <c r="B8" s="358">
        <v>4.2699999999999996</v>
      </c>
      <c r="C8" s="359">
        <v>5.5E-2</v>
      </c>
      <c r="D8" s="360" t="s">
        <v>10</v>
      </c>
      <c r="F8" s="22" t="s">
        <v>77</v>
      </c>
    </row>
    <row r="9" spans="1:6" s="22" customFormat="1">
      <c r="A9" s="361" t="s">
        <v>258</v>
      </c>
      <c r="B9" s="362"/>
      <c r="C9" s="363">
        <v>5.5E-2</v>
      </c>
      <c r="D9" s="364" t="s">
        <v>259</v>
      </c>
      <c r="F9" s="22" t="s">
        <v>78</v>
      </c>
    </row>
    <row r="10" spans="1:6" s="22" customFormat="1">
      <c r="A10" s="357" t="s">
        <v>236</v>
      </c>
      <c r="B10" s="358">
        <v>3.6</v>
      </c>
      <c r="C10" s="363">
        <v>5.5E-2</v>
      </c>
      <c r="D10" s="360" t="s">
        <v>10</v>
      </c>
      <c r="F10" s="22" t="s">
        <v>79</v>
      </c>
    </row>
    <row r="11" spans="1:6" s="22" customFormat="1">
      <c r="A11" s="361" t="s">
        <v>247</v>
      </c>
      <c r="B11" s="362">
        <v>4.2699999999999996</v>
      </c>
      <c r="C11" s="363">
        <v>5.5E-2</v>
      </c>
      <c r="D11" s="364" t="s">
        <v>10</v>
      </c>
      <c r="F11" s="22" t="s">
        <v>80</v>
      </c>
    </row>
    <row r="12" spans="1:6" s="22" customFormat="1">
      <c r="A12" s="361" t="s">
        <v>289</v>
      </c>
      <c r="B12" s="362">
        <v>7.58</v>
      </c>
      <c r="C12" s="363">
        <v>5.5E-2</v>
      </c>
      <c r="D12" s="364" t="s">
        <v>10</v>
      </c>
      <c r="F12" s="22" t="s">
        <v>81</v>
      </c>
    </row>
    <row r="13" spans="1:6" s="22" customFormat="1">
      <c r="A13" s="361" t="s">
        <v>290</v>
      </c>
      <c r="B13" s="362">
        <v>13.27</v>
      </c>
      <c r="C13" s="363">
        <v>5.5E-2</v>
      </c>
      <c r="D13" s="364" t="s">
        <v>10</v>
      </c>
      <c r="F13" s="22" t="s">
        <v>82</v>
      </c>
    </row>
    <row r="14" spans="1:6" s="22" customFormat="1">
      <c r="A14" s="361" t="s">
        <v>50</v>
      </c>
      <c r="B14" s="362">
        <v>0.09</v>
      </c>
      <c r="C14" s="363">
        <v>5.5E-2</v>
      </c>
      <c r="D14" s="364" t="s">
        <v>10</v>
      </c>
      <c r="F14" s="22" t="s">
        <v>83</v>
      </c>
    </row>
    <row r="15" spans="1:6" s="22" customFormat="1">
      <c r="A15" s="361" t="s">
        <v>51</v>
      </c>
      <c r="B15" s="362">
        <v>2.37</v>
      </c>
      <c r="C15" s="363">
        <v>5.5E-2</v>
      </c>
      <c r="D15" s="364" t="s">
        <v>10</v>
      </c>
      <c r="F15" s="22" t="s">
        <v>84</v>
      </c>
    </row>
    <row r="16" spans="1:6" s="22" customFormat="1">
      <c r="A16" s="365" t="s">
        <v>47</v>
      </c>
      <c r="B16" s="366">
        <v>7</v>
      </c>
      <c r="C16" s="367">
        <v>0.1</v>
      </c>
      <c r="D16" s="368" t="s">
        <v>19</v>
      </c>
      <c r="F16" s="22" t="s">
        <v>85</v>
      </c>
    </row>
    <row r="17" spans="1:6">
      <c r="A17" s="365" t="s">
        <v>48</v>
      </c>
      <c r="B17" s="366">
        <v>2.7</v>
      </c>
      <c r="C17" s="367">
        <v>0.1</v>
      </c>
      <c r="D17" s="368" t="s">
        <v>19</v>
      </c>
      <c r="F17" s="22" t="s">
        <v>86</v>
      </c>
    </row>
    <row r="18" spans="1:6">
      <c r="A18" s="369" t="s">
        <v>49</v>
      </c>
      <c r="B18" s="370">
        <v>9</v>
      </c>
      <c r="C18" s="371">
        <v>0.1</v>
      </c>
      <c r="D18" s="372" t="s">
        <v>19</v>
      </c>
      <c r="F18" s="22" t="s">
        <v>87</v>
      </c>
    </row>
    <row r="19" spans="1:6">
      <c r="A19" s="369" t="s">
        <v>52</v>
      </c>
      <c r="B19" s="370"/>
      <c r="C19" s="371">
        <v>0.1</v>
      </c>
      <c r="D19" s="372" t="s">
        <v>10</v>
      </c>
      <c r="F19" s="22" t="s">
        <v>88</v>
      </c>
    </row>
    <row r="20" spans="1:6" s="22" customFormat="1">
      <c r="A20" s="369" t="s">
        <v>53</v>
      </c>
      <c r="B20" s="370"/>
      <c r="C20" s="371">
        <v>0.1</v>
      </c>
      <c r="D20" s="372" t="s">
        <v>19</v>
      </c>
      <c r="F20" s="22" t="s">
        <v>89</v>
      </c>
    </row>
    <row r="21" spans="1:6">
      <c r="A21" s="373" t="s">
        <v>54</v>
      </c>
      <c r="B21" s="374"/>
      <c r="C21" s="375">
        <v>5.5E-2</v>
      </c>
      <c r="D21" s="376" t="s">
        <v>259</v>
      </c>
      <c r="F21" s="22" t="s">
        <v>90</v>
      </c>
    </row>
    <row r="22" spans="1:6">
      <c r="A22" s="373" t="s">
        <v>55</v>
      </c>
      <c r="B22" s="374"/>
      <c r="C22" s="375">
        <v>0.1</v>
      </c>
      <c r="D22" s="376" t="s">
        <v>259</v>
      </c>
      <c r="F22" s="22" t="s">
        <v>91</v>
      </c>
    </row>
    <row r="23" spans="1:6">
      <c r="A23" s="41" t="s">
        <v>288</v>
      </c>
      <c r="B23" s="18">
        <v>35</v>
      </c>
      <c r="C23" s="19">
        <v>0.1</v>
      </c>
      <c r="D23" s="20" t="s">
        <v>10</v>
      </c>
      <c r="F23" s="22" t="s">
        <v>92</v>
      </c>
    </row>
    <row r="24" spans="1:6">
      <c r="A24" s="41" t="s">
        <v>282</v>
      </c>
      <c r="B24" s="18"/>
      <c r="C24" s="19">
        <v>0.2</v>
      </c>
      <c r="D24" s="20" t="s">
        <v>10</v>
      </c>
      <c r="F24" s="22" t="s">
        <v>93</v>
      </c>
    </row>
    <row r="25" spans="1:6">
      <c r="F25" s="22" t="s">
        <v>94</v>
      </c>
    </row>
    <row r="26" spans="1:6">
      <c r="F26" s="22" t="s">
        <v>95</v>
      </c>
    </row>
    <row r="27" spans="1:6">
      <c r="F27" s="22" t="s">
        <v>96</v>
      </c>
    </row>
    <row r="28" spans="1:6">
      <c r="F28" s="22" t="s">
        <v>97</v>
      </c>
    </row>
    <row r="29" spans="1:6">
      <c r="F29" s="22" t="s">
        <v>98</v>
      </c>
    </row>
    <row r="30" spans="1:6">
      <c r="F30" s="22" t="s">
        <v>99</v>
      </c>
    </row>
    <row r="31" spans="1:6">
      <c r="F31" s="22" t="s">
        <v>100</v>
      </c>
    </row>
    <row r="32" spans="1:6">
      <c r="F32" s="22" t="s">
        <v>101</v>
      </c>
    </row>
    <row r="33" spans="6:6">
      <c r="F33" s="22" t="s">
        <v>102</v>
      </c>
    </row>
    <row r="34" spans="6:6">
      <c r="F34" s="22" t="s">
        <v>103</v>
      </c>
    </row>
    <row r="35" spans="6:6">
      <c r="F35" s="22" t="s">
        <v>104</v>
      </c>
    </row>
    <row r="36" spans="6:6">
      <c r="F36" s="22" t="s">
        <v>105</v>
      </c>
    </row>
    <row r="37" spans="6:6">
      <c r="F37" s="22" t="s">
        <v>106</v>
      </c>
    </row>
    <row r="38" spans="6:6">
      <c r="F38" s="22" t="s">
        <v>107</v>
      </c>
    </row>
    <row r="39" spans="6:6">
      <c r="F39" s="22" t="s">
        <v>108</v>
      </c>
    </row>
    <row r="40" spans="6:6">
      <c r="F40" s="22" t="s">
        <v>109</v>
      </c>
    </row>
    <row r="41" spans="6:6">
      <c r="F41" s="22" t="s">
        <v>110</v>
      </c>
    </row>
    <row r="42" spans="6:6">
      <c r="F42" s="22" t="s">
        <v>111</v>
      </c>
    </row>
    <row r="43" spans="6:6">
      <c r="F43" s="22" t="s">
        <v>112</v>
      </c>
    </row>
    <row r="44" spans="6:6">
      <c r="F44" s="22" t="s">
        <v>113</v>
      </c>
    </row>
    <row r="45" spans="6:6">
      <c r="F45" s="22" t="s">
        <v>114</v>
      </c>
    </row>
    <row r="46" spans="6:6">
      <c r="F46" s="22" t="s">
        <v>115</v>
      </c>
    </row>
    <row r="47" spans="6:6">
      <c r="F47" s="22" t="s">
        <v>116</v>
      </c>
    </row>
    <row r="48" spans="6:6">
      <c r="F48" s="22" t="s">
        <v>117</v>
      </c>
    </row>
    <row r="49" spans="6:6">
      <c r="F49" s="22" t="s">
        <v>118</v>
      </c>
    </row>
    <row r="50" spans="6:6">
      <c r="F50" s="22" t="s">
        <v>119</v>
      </c>
    </row>
    <row r="51" spans="6:6">
      <c r="F51" s="22" t="s">
        <v>204</v>
      </c>
    </row>
    <row r="52" spans="6:6">
      <c r="F52" s="22" t="s">
        <v>246</v>
      </c>
    </row>
    <row r="53" spans="6:6">
      <c r="F53" s="22" t="s">
        <v>206</v>
      </c>
    </row>
    <row r="54" spans="6:6">
      <c r="F54" s="22" t="s">
        <v>207</v>
      </c>
    </row>
    <row r="55" spans="6:6">
      <c r="F55" s="22" t="s">
        <v>208</v>
      </c>
    </row>
    <row r="56" spans="6:6">
      <c r="F56" s="22" t="s">
        <v>209</v>
      </c>
    </row>
    <row r="57" spans="6:6">
      <c r="F57" s="22" t="s">
        <v>210</v>
      </c>
    </row>
    <row r="58" spans="6:6">
      <c r="F58" s="22" t="s">
        <v>211</v>
      </c>
    </row>
    <row r="59" spans="6:6">
      <c r="F59" s="22" t="s">
        <v>212</v>
      </c>
    </row>
    <row r="60" spans="6:6">
      <c r="F60" s="22" t="s">
        <v>213</v>
      </c>
    </row>
    <row r="61" spans="6:6">
      <c r="F61" s="22" t="s">
        <v>214</v>
      </c>
    </row>
    <row r="62" spans="6:6">
      <c r="F62" s="22" t="s">
        <v>215</v>
      </c>
    </row>
  </sheetData>
  <phoneticPr fontId="0" type="noConversion"/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Tableau de bord</vt:lpstr>
      <vt:lpstr>FACTURE</vt:lpstr>
      <vt:lpstr>VE</vt:lpstr>
      <vt:lpstr>AC</vt:lpstr>
      <vt:lpstr>OD</vt:lpstr>
      <vt:lpstr>ESP VE</vt:lpstr>
      <vt:lpstr>CAISSE</vt:lpstr>
      <vt:lpstr>BANQUE</vt:lpstr>
      <vt:lpstr>PRODUITS</vt:lpstr>
      <vt:lpstr>CREANCES</vt:lpstr>
      <vt:lpstr>DETTES</vt:lpstr>
      <vt:lpstr>CLIENTS</vt:lpstr>
      <vt:lpstr>RELANCE 1</vt:lpstr>
      <vt:lpstr>BL</vt:lpstr>
      <vt:lpstr>BLMOIS</vt:lpstr>
      <vt:lpstr>CLIENTS</vt:lpstr>
      <vt:lpstr>CODE</vt:lpstr>
      <vt:lpstr>ListeDesTaux</vt:lpstr>
      <vt:lpstr>OD</vt:lpstr>
      <vt:lpstr>produits</vt:lpstr>
      <vt:lpstr>Tableau</vt:lpstr>
      <vt:lpstr>TableauCL</vt:lpstr>
      <vt:lpstr>TableauOD</vt:lpstr>
      <vt:lpstr>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 07</dc:creator>
  <cp:lastModifiedBy>Vivi 07</cp:lastModifiedBy>
  <cp:lastPrinted>2018-12-08T13:34:27Z</cp:lastPrinted>
  <dcterms:created xsi:type="dcterms:W3CDTF">2013-02-11T09:46:55Z</dcterms:created>
  <dcterms:modified xsi:type="dcterms:W3CDTF">2018-12-10T20:23:02Z</dcterms:modified>
</cp:coreProperties>
</file>