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7275" yWindow="-15" windowWidth="3645" windowHeight="12870" tabRatio="713" firstSheet="1" activeTab="1"/>
  </bookViews>
  <sheets>
    <sheet name="Note 13 OLD" sheetId="8" state="hidden" r:id="rId1"/>
    <sheet name="NOTE7.5 actif financier" sheetId="6571" r:id="rId2"/>
    <sheet name="NOTE7.5 passif financier" sheetId="6574" r:id="rId3"/>
    <sheet name="Get Smart" sheetId="5" r:id="rId4"/>
    <sheet name="Getcarat" sheetId="6" state="hidden" r:id="rId5"/>
    <sheet name="RETRIEVE 2" sheetId="6575" r:id="rId6"/>
    <sheet name="RETRIEVE 1" sheetId="6576" r:id="rId7"/>
    <sheet name="Justifs TNC niveau3 2012.12" sheetId="6579" r:id="rId8"/>
    <sheet name="Retrieve AFS N1 et N3" sheetId="6580" state="hidden" r:id="rId9"/>
    <sheet name="Justifs TNC niveau3 2011.12" sheetId="6577" state="hidden" r:id="rId10"/>
    <sheet name="Justifs TNC niveau3 2010.12" sheetId="6578" state="hidden" r:id="rId11"/>
    <sheet name="prêt et créance au ct amorti" sheetId="3980" state="hidden" r:id="rId12"/>
    <sheet name="autres" sheetId="2316" state="hidden" r:id="rId13"/>
  </sheets>
  <calcPr calcId="144525"/>
</workbook>
</file>

<file path=xl/calcChain.xml><?xml version="1.0" encoding="utf-8"?>
<calcChain xmlns="http://schemas.openxmlformats.org/spreadsheetml/2006/main">
  <c r="B20" i="6571" l="1"/>
  <c r="B26" i="6571"/>
  <c r="A50" i="6580"/>
  <c r="A42" i="6580"/>
  <c r="C34" i="6580"/>
  <c r="C33" i="6580"/>
  <c r="C28" i="6580"/>
  <c r="C27" i="6580"/>
  <c r="C21" i="6580"/>
  <c r="C20" i="6580"/>
  <c r="C19" i="6580"/>
  <c r="C18" i="6580"/>
  <c r="C17" i="6580"/>
  <c r="C16" i="6580"/>
  <c r="C15" i="6580"/>
  <c r="N11" i="6580"/>
  <c r="K11" i="6580"/>
  <c r="J11" i="6580"/>
  <c r="I11" i="6580"/>
  <c r="H11" i="6580"/>
  <c r="G11" i="6580"/>
  <c r="F11" i="6580"/>
  <c r="E11" i="6580"/>
  <c r="D11" i="6580"/>
  <c r="C27" i="6578"/>
  <c r="C4" i="6578" s="1"/>
  <c r="B27" i="6578"/>
  <c r="D25" i="6578"/>
  <c r="D24" i="6578"/>
  <c r="D23" i="6578"/>
  <c r="C9" i="6578" s="1"/>
  <c r="D9" i="6578" s="1"/>
  <c r="D22" i="6578"/>
  <c r="C10" i="6578" s="1"/>
  <c r="D10" i="6578" s="1"/>
  <c r="D21" i="6578"/>
  <c r="D20" i="6578"/>
  <c r="B12" i="6578"/>
  <c r="D8" i="6578"/>
  <c r="D7" i="6578"/>
  <c r="C6" i="6578"/>
  <c r="D6" i="6578" s="1"/>
  <c r="C24" i="6577"/>
  <c r="C4" i="6577" s="1"/>
  <c r="B23" i="6577"/>
  <c r="D23" i="6577"/>
  <c r="D22" i="6577"/>
  <c r="D21" i="6577"/>
  <c r="D20" i="6577"/>
  <c r="D24" i="6577" s="1"/>
  <c r="D19" i="6577"/>
  <c r="D18" i="6577"/>
  <c r="C9" i="6577"/>
  <c r="D9" i="6577" s="1"/>
  <c r="D8" i="6577"/>
  <c r="C7" i="6577"/>
  <c r="D7" i="6577" s="1"/>
  <c r="D6" i="6577"/>
  <c r="C5" i="6577"/>
  <c r="D5" i="6577" s="1"/>
  <c r="E11" i="6"/>
  <c r="I11" i="6"/>
  <c r="M11" i="6"/>
  <c r="Q11" i="6"/>
  <c r="E12" i="6"/>
  <c r="I12" i="6"/>
  <c r="M12" i="6"/>
  <c r="Q12" i="6"/>
  <c r="E13" i="6"/>
  <c r="I13" i="6"/>
  <c r="M13" i="6"/>
  <c r="Q13" i="6"/>
  <c r="E14" i="6"/>
  <c r="I14" i="6"/>
  <c r="M14" i="6"/>
  <c r="Q14" i="6"/>
  <c r="E15" i="6"/>
  <c r="I15" i="6"/>
  <c r="M15" i="6"/>
  <c r="Q15" i="6"/>
  <c r="E16" i="6"/>
  <c r="I16" i="6"/>
  <c r="M16" i="6"/>
  <c r="Q16" i="6"/>
  <c r="E17" i="6"/>
  <c r="I17" i="6"/>
  <c r="M17" i="6"/>
  <c r="Q17" i="6"/>
  <c r="E18" i="6"/>
  <c r="I18" i="6"/>
  <c r="M18" i="6"/>
  <c r="Q18" i="6"/>
  <c r="E19" i="6"/>
  <c r="I19" i="6"/>
  <c r="M19" i="6"/>
  <c r="Q19" i="6"/>
  <c r="E20" i="6"/>
  <c r="I20" i="6"/>
  <c r="M20" i="6"/>
  <c r="Q20" i="6"/>
  <c r="E21" i="6"/>
  <c r="I21" i="6"/>
  <c r="M21" i="6"/>
  <c r="Q21" i="6"/>
  <c r="E22" i="6"/>
  <c r="I22" i="6"/>
  <c r="M22" i="6"/>
  <c r="Q22" i="6"/>
  <c r="D23" i="6"/>
  <c r="E23" i="6" s="1"/>
  <c r="B6" i="8" s="1"/>
  <c r="D6" i="8" s="1"/>
  <c r="H23" i="6"/>
  <c r="I23" i="6"/>
  <c r="F6" i="8" s="1"/>
  <c r="H6" i="8" s="1"/>
  <c r="L23" i="6"/>
  <c r="M23" i="6" s="1"/>
  <c r="J6" i="8" s="1"/>
  <c r="L6" i="8" s="1"/>
  <c r="P23" i="6"/>
  <c r="Q23" i="6"/>
  <c r="E24" i="6"/>
  <c r="I24" i="6"/>
  <c r="M24" i="6"/>
  <c r="Q24" i="6"/>
  <c r="E25" i="6"/>
  <c r="I25" i="6"/>
  <c r="M25" i="6"/>
  <c r="Q25" i="6"/>
  <c r="E26" i="6"/>
  <c r="I26" i="6"/>
  <c r="M26" i="6"/>
  <c r="Q26" i="6"/>
  <c r="D27" i="6"/>
  <c r="E27" i="6" s="1"/>
  <c r="H27" i="6"/>
  <c r="I27" i="6" s="1"/>
  <c r="L27" i="6"/>
  <c r="M27" i="6"/>
  <c r="P27" i="6"/>
  <c r="Q27" i="6" s="1"/>
  <c r="E28" i="6"/>
  <c r="E43" i="6" s="1"/>
  <c r="B7" i="8" s="1"/>
  <c r="I28" i="6"/>
  <c r="M28" i="6"/>
  <c r="Q28" i="6"/>
  <c r="E29" i="6"/>
  <c r="I29" i="6"/>
  <c r="M29" i="6"/>
  <c r="Q29" i="6"/>
  <c r="E30" i="6"/>
  <c r="I30" i="6"/>
  <c r="M30" i="6"/>
  <c r="Q30" i="6"/>
  <c r="E31" i="6"/>
  <c r="I31" i="6"/>
  <c r="M31" i="6"/>
  <c r="Q31" i="6"/>
  <c r="E32" i="6"/>
  <c r="I32" i="6"/>
  <c r="M32" i="6"/>
  <c r="Q32" i="6"/>
  <c r="E33" i="6"/>
  <c r="I33" i="6"/>
  <c r="M33" i="6"/>
  <c r="Q33" i="6"/>
  <c r="E34" i="6"/>
  <c r="I34" i="6"/>
  <c r="M34" i="6"/>
  <c r="Q34" i="6"/>
  <c r="E35" i="6"/>
  <c r="I35" i="6"/>
  <c r="M35" i="6"/>
  <c r="Q35" i="6"/>
  <c r="E36" i="6"/>
  <c r="I36" i="6"/>
  <c r="M36" i="6"/>
  <c r="Q36" i="6"/>
  <c r="E37" i="6"/>
  <c r="I37" i="6"/>
  <c r="M37" i="6"/>
  <c r="Q37" i="6"/>
  <c r="E38" i="6"/>
  <c r="I38" i="6"/>
  <c r="M38" i="6"/>
  <c r="Q38" i="6"/>
  <c r="E39" i="6"/>
  <c r="I39" i="6"/>
  <c r="M39" i="6"/>
  <c r="Q39" i="6"/>
  <c r="E40" i="6"/>
  <c r="I40" i="6"/>
  <c r="M40" i="6"/>
  <c r="Q40" i="6"/>
  <c r="E41" i="6"/>
  <c r="I41" i="6"/>
  <c r="M41" i="6"/>
  <c r="Q41" i="6"/>
  <c r="E42" i="6"/>
  <c r="I42" i="6"/>
  <c r="M42" i="6"/>
  <c r="Q42" i="6"/>
  <c r="D43" i="6"/>
  <c r="H43" i="6"/>
  <c r="L43" i="6"/>
  <c r="P43" i="6"/>
  <c r="E44" i="6"/>
  <c r="I44" i="6"/>
  <c r="M44" i="6"/>
  <c r="Q44" i="6"/>
  <c r="E45" i="6"/>
  <c r="I45" i="6"/>
  <c r="M45" i="6"/>
  <c r="Q45" i="6"/>
  <c r="E46" i="6"/>
  <c r="I46" i="6"/>
  <c r="M46" i="6"/>
  <c r="Q46" i="6"/>
  <c r="E47" i="6"/>
  <c r="I47" i="6"/>
  <c r="M47" i="6"/>
  <c r="Q47" i="6"/>
  <c r="E48" i="6"/>
  <c r="I48" i="6"/>
  <c r="M48" i="6"/>
  <c r="Q48" i="6"/>
  <c r="E49" i="6"/>
  <c r="I49" i="6"/>
  <c r="M49" i="6"/>
  <c r="Q49" i="6"/>
  <c r="E50" i="6"/>
  <c r="I50" i="6"/>
  <c r="M50" i="6"/>
  <c r="Q50" i="6"/>
  <c r="E51" i="6"/>
  <c r="I51" i="6"/>
  <c r="M51" i="6"/>
  <c r="Q51" i="6"/>
  <c r="E52" i="6"/>
  <c r="I52" i="6"/>
  <c r="M52" i="6"/>
  <c r="Q52" i="6"/>
  <c r="E53" i="6"/>
  <c r="I53" i="6"/>
  <c r="M53" i="6"/>
  <c r="Q53" i="6"/>
  <c r="E54" i="6"/>
  <c r="I54" i="6"/>
  <c r="M54" i="6"/>
  <c r="Q54" i="6"/>
  <c r="E55" i="6"/>
  <c r="I55" i="6"/>
  <c r="M55" i="6"/>
  <c r="Q55" i="6"/>
  <c r="E56" i="6"/>
  <c r="I56" i="6"/>
  <c r="M56" i="6"/>
  <c r="Q56" i="6"/>
  <c r="E57" i="6"/>
  <c r="I57" i="6"/>
  <c r="M57" i="6"/>
  <c r="Q57" i="6"/>
  <c r="E58" i="6"/>
  <c r="I58" i="6"/>
  <c r="M58" i="6"/>
  <c r="Q58" i="6"/>
  <c r="E59" i="6"/>
  <c r="I59" i="6"/>
  <c r="M59" i="6"/>
  <c r="Q59" i="6"/>
  <c r="E60" i="6"/>
  <c r="I60" i="6"/>
  <c r="M60" i="6"/>
  <c r="Q60" i="6"/>
  <c r="D61" i="6"/>
  <c r="E61" i="6"/>
  <c r="C7" i="8"/>
  <c r="H61" i="6"/>
  <c r="I61" i="6"/>
  <c r="G7" i="8" s="1"/>
  <c r="L61" i="6"/>
  <c r="M61" i="6"/>
  <c r="P61" i="6"/>
  <c r="Q61" i="6" s="1"/>
  <c r="E62" i="6"/>
  <c r="I62" i="6"/>
  <c r="M62" i="6"/>
  <c r="Q62" i="6"/>
  <c r="E63" i="6"/>
  <c r="I63" i="6"/>
  <c r="M63" i="6"/>
  <c r="Q63" i="6"/>
  <c r="E64" i="6"/>
  <c r="I64" i="6"/>
  <c r="M64" i="6"/>
  <c r="Q64" i="6"/>
  <c r="E65" i="6"/>
  <c r="I65" i="6"/>
  <c r="M65" i="6"/>
  <c r="Q65" i="6"/>
  <c r="E66" i="6"/>
  <c r="I66" i="6"/>
  <c r="M66" i="6"/>
  <c r="Q66" i="6"/>
  <c r="E67" i="6"/>
  <c r="I67" i="6"/>
  <c r="M67" i="6"/>
  <c r="Q67" i="6"/>
  <c r="E68" i="6"/>
  <c r="I68" i="6"/>
  <c r="M68" i="6"/>
  <c r="Q68" i="6"/>
  <c r="E69" i="6"/>
  <c r="I69" i="6"/>
  <c r="M69" i="6"/>
  <c r="Q69" i="6"/>
  <c r="E70" i="6"/>
  <c r="I70" i="6"/>
  <c r="M70" i="6"/>
  <c r="Q70" i="6"/>
  <c r="E71" i="6"/>
  <c r="I71" i="6"/>
  <c r="M71" i="6"/>
  <c r="Q71" i="6"/>
  <c r="E72" i="6"/>
  <c r="I72" i="6"/>
  <c r="M72" i="6"/>
  <c r="Q72" i="6"/>
  <c r="E73" i="6"/>
  <c r="I73" i="6"/>
  <c r="M73" i="6"/>
  <c r="Q73" i="6"/>
  <c r="E74" i="6"/>
  <c r="I74" i="6"/>
  <c r="M74" i="6"/>
  <c r="Q74" i="6"/>
  <c r="E75" i="6"/>
  <c r="I75" i="6"/>
  <c r="M75" i="6"/>
  <c r="Q75" i="6"/>
  <c r="E76" i="6"/>
  <c r="I76" i="6"/>
  <c r="M76" i="6"/>
  <c r="Q76" i="6"/>
  <c r="E77" i="6"/>
  <c r="I77" i="6"/>
  <c r="M77" i="6"/>
  <c r="Q77" i="6"/>
  <c r="E78" i="6"/>
  <c r="I78" i="6"/>
  <c r="M78" i="6"/>
  <c r="Q78" i="6"/>
  <c r="E79" i="6"/>
  <c r="I79" i="6"/>
  <c r="M79" i="6"/>
  <c r="Q79" i="6"/>
  <c r="E80" i="6"/>
  <c r="I80" i="6"/>
  <c r="M80" i="6"/>
  <c r="Q80" i="6"/>
  <c r="E81" i="6"/>
  <c r="I81" i="6"/>
  <c r="M81" i="6"/>
  <c r="Q81" i="6"/>
  <c r="E82" i="6"/>
  <c r="I82" i="6"/>
  <c r="M82" i="6"/>
  <c r="Q82" i="6"/>
  <c r="E83" i="6"/>
  <c r="E99" i="6"/>
  <c r="B8" i="8" s="1"/>
  <c r="I83" i="6"/>
  <c r="M83" i="6"/>
  <c r="Q83" i="6"/>
  <c r="E84" i="6"/>
  <c r="I84" i="6"/>
  <c r="M84" i="6"/>
  <c r="Q84" i="6"/>
  <c r="E85" i="6"/>
  <c r="I85" i="6"/>
  <c r="M85" i="6"/>
  <c r="Q85" i="6"/>
  <c r="E86" i="6"/>
  <c r="I86" i="6"/>
  <c r="M86" i="6"/>
  <c r="Q86" i="6"/>
  <c r="E87" i="6"/>
  <c r="I87" i="6"/>
  <c r="M87" i="6"/>
  <c r="Q87" i="6"/>
  <c r="E88" i="6"/>
  <c r="I88" i="6"/>
  <c r="M88" i="6"/>
  <c r="Q88" i="6"/>
  <c r="E89" i="6"/>
  <c r="I89" i="6"/>
  <c r="M89" i="6"/>
  <c r="Q89" i="6"/>
  <c r="E90" i="6"/>
  <c r="I90" i="6"/>
  <c r="M90" i="6"/>
  <c r="Q90" i="6"/>
  <c r="E91" i="6"/>
  <c r="I91" i="6"/>
  <c r="M91" i="6"/>
  <c r="Q91" i="6"/>
  <c r="E92" i="6"/>
  <c r="I92" i="6"/>
  <c r="M92" i="6"/>
  <c r="Q92" i="6"/>
  <c r="E93" i="6"/>
  <c r="I93" i="6"/>
  <c r="M93" i="6"/>
  <c r="Q93" i="6"/>
  <c r="E94" i="6"/>
  <c r="I94" i="6"/>
  <c r="M94" i="6"/>
  <c r="Q94" i="6"/>
  <c r="E95" i="6"/>
  <c r="I95" i="6"/>
  <c r="M95" i="6"/>
  <c r="Q95" i="6"/>
  <c r="E96" i="6"/>
  <c r="I96" i="6"/>
  <c r="M96" i="6"/>
  <c r="Q96" i="6"/>
  <c r="E97" i="6"/>
  <c r="I97" i="6"/>
  <c r="M97" i="6"/>
  <c r="Q97" i="6"/>
  <c r="E98" i="6"/>
  <c r="I98" i="6"/>
  <c r="M98" i="6"/>
  <c r="Q98" i="6"/>
  <c r="D99" i="6"/>
  <c r="H99" i="6"/>
  <c r="L99" i="6"/>
  <c r="P99" i="6"/>
  <c r="E100" i="6"/>
  <c r="I100" i="6"/>
  <c r="M100" i="6"/>
  <c r="Q100" i="6"/>
  <c r="E101" i="6"/>
  <c r="I101" i="6"/>
  <c r="M101" i="6"/>
  <c r="Q101" i="6"/>
  <c r="E102" i="6"/>
  <c r="I102" i="6"/>
  <c r="M102" i="6"/>
  <c r="Q102" i="6"/>
  <c r="E103" i="6"/>
  <c r="I103" i="6"/>
  <c r="M103" i="6"/>
  <c r="Q103" i="6"/>
  <c r="E104" i="6"/>
  <c r="I104" i="6"/>
  <c r="M104" i="6"/>
  <c r="Q104" i="6"/>
  <c r="E105" i="6"/>
  <c r="I105" i="6"/>
  <c r="M105" i="6"/>
  <c r="Q105" i="6"/>
  <c r="E106" i="6"/>
  <c r="I106" i="6"/>
  <c r="M106" i="6"/>
  <c r="Q106" i="6"/>
  <c r="E107" i="6"/>
  <c r="I107" i="6"/>
  <c r="M107" i="6"/>
  <c r="Q107" i="6"/>
  <c r="E108" i="6"/>
  <c r="I108" i="6"/>
  <c r="M108" i="6"/>
  <c r="Q108" i="6"/>
  <c r="E109" i="6"/>
  <c r="I109" i="6"/>
  <c r="M109" i="6"/>
  <c r="Q109" i="6"/>
  <c r="E110" i="6"/>
  <c r="I110" i="6"/>
  <c r="M110" i="6"/>
  <c r="Q110" i="6"/>
  <c r="E111" i="6"/>
  <c r="I111" i="6"/>
  <c r="M111" i="6"/>
  <c r="Q111" i="6"/>
  <c r="E112" i="6"/>
  <c r="I112" i="6"/>
  <c r="M112" i="6"/>
  <c r="Q112" i="6"/>
  <c r="E113" i="6"/>
  <c r="I113" i="6"/>
  <c r="M113" i="6"/>
  <c r="Q113" i="6"/>
  <c r="E114" i="6"/>
  <c r="I114" i="6"/>
  <c r="M114" i="6"/>
  <c r="Q114" i="6"/>
  <c r="E115" i="6"/>
  <c r="I115" i="6"/>
  <c r="M115" i="6"/>
  <c r="Q115" i="6"/>
  <c r="E116" i="6"/>
  <c r="I116" i="6"/>
  <c r="M116" i="6"/>
  <c r="Q116" i="6"/>
  <c r="E117" i="6"/>
  <c r="I117" i="6"/>
  <c r="M117" i="6"/>
  <c r="Q117" i="6"/>
  <c r="E118" i="6"/>
  <c r="I118" i="6"/>
  <c r="M118" i="6"/>
  <c r="Q118" i="6"/>
  <c r="E119" i="6"/>
  <c r="I119" i="6"/>
  <c r="M119" i="6"/>
  <c r="Q119" i="6"/>
  <c r="E120" i="6"/>
  <c r="I120" i="6"/>
  <c r="M120" i="6"/>
  <c r="Q120" i="6"/>
  <c r="E121" i="6"/>
  <c r="I121" i="6"/>
  <c r="M121" i="6"/>
  <c r="Q121" i="6"/>
  <c r="E122" i="6"/>
  <c r="I122" i="6"/>
  <c r="M122" i="6"/>
  <c r="Q122" i="6"/>
  <c r="E123" i="6"/>
  <c r="I123" i="6"/>
  <c r="M123" i="6"/>
  <c r="Q123" i="6"/>
  <c r="E124" i="6"/>
  <c r="I124" i="6"/>
  <c r="M124" i="6"/>
  <c r="Q124" i="6"/>
  <c r="E125" i="6"/>
  <c r="I125" i="6"/>
  <c r="M125" i="6"/>
  <c r="Q125" i="6"/>
  <c r="E126" i="6"/>
  <c r="I126" i="6"/>
  <c r="M126" i="6"/>
  <c r="Q126" i="6"/>
  <c r="E127" i="6"/>
  <c r="I127" i="6"/>
  <c r="M127" i="6"/>
  <c r="Q127" i="6"/>
  <c r="E128" i="6"/>
  <c r="I128" i="6"/>
  <c r="M128" i="6"/>
  <c r="Q128" i="6"/>
  <c r="E129" i="6"/>
  <c r="I129" i="6"/>
  <c r="M129" i="6"/>
  <c r="Q129" i="6"/>
  <c r="E130" i="6"/>
  <c r="I130" i="6"/>
  <c r="M130" i="6"/>
  <c r="Q130" i="6"/>
  <c r="E131" i="6"/>
  <c r="I131" i="6"/>
  <c r="M131" i="6"/>
  <c r="Q131" i="6"/>
  <c r="E132" i="6"/>
  <c r="I132" i="6"/>
  <c r="M132" i="6"/>
  <c r="Q132" i="6"/>
  <c r="E133" i="6"/>
  <c r="I133" i="6"/>
  <c r="M133" i="6"/>
  <c r="Q133" i="6"/>
  <c r="E134" i="6"/>
  <c r="I134" i="6"/>
  <c r="M134" i="6"/>
  <c r="Q134" i="6"/>
  <c r="E135" i="6"/>
  <c r="I135" i="6"/>
  <c r="M135" i="6"/>
  <c r="Q135" i="6"/>
  <c r="E136" i="6"/>
  <c r="I136" i="6"/>
  <c r="M136" i="6"/>
  <c r="Q136" i="6"/>
  <c r="D137" i="6"/>
  <c r="E137" i="6" s="1"/>
  <c r="C8" i="8"/>
  <c r="H137" i="6"/>
  <c r="I137" i="6" s="1"/>
  <c r="G8" i="8"/>
  <c r="L137" i="6"/>
  <c r="P137" i="6"/>
  <c r="Q137" i="6"/>
  <c r="E138" i="6"/>
  <c r="I138" i="6"/>
  <c r="M138" i="6"/>
  <c r="Q138" i="6"/>
  <c r="E139" i="6"/>
  <c r="I139" i="6"/>
  <c r="M139" i="6"/>
  <c r="Q139" i="6"/>
  <c r="E140" i="6"/>
  <c r="I140" i="6"/>
  <c r="M140" i="6"/>
  <c r="Q140" i="6"/>
  <c r="E141" i="6"/>
  <c r="I141" i="6"/>
  <c r="M141" i="6"/>
  <c r="Q141" i="6"/>
  <c r="E142" i="6"/>
  <c r="I142" i="6"/>
  <c r="M142" i="6"/>
  <c r="Q142" i="6"/>
  <c r="E143" i="6"/>
  <c r="I143" i="6"/>
  <c r="M143" i="6"/>
  <c r="Q143" i="6"/>
  <c r="E144" i="6"/>
  <c r="I144" i="6"/>
  <c r="M144" i="6"/>
  <c r="Q144" i="6"/>
  <c r="E145" i="6"/>
  <c r="I145" i="6"/>
  <c r="M145" i="6"/>
  <c r="Q145" i="6"/>
  <c r="E146" i="6"/>
  <c r="I146" i="6"/>
  <c r="M146" i="6"/>
  <c r="Q146" i="6"/>
  <c r="E147" i="6"/>
  <c r="I147" i="6"/>
  <c r="M147" i="6"/>
  <c r="Q147" i="6"/>
  <c r="E148" i="6"/>
  <c r="I148" i="6"/>
  <c r="M148" i="6"/>
  <c r="Q148" i="6"/>
  <c r="D149" i="6"/>
  <c r="E149" i="6" s="1"/>
  <c r="C9" i="8" s="1"/>
  <c r="D9" i="8"/>
  <c r="H149" i="6"/>
  <c r="L149" i="6"/>
  <c r="M149" i="6"/>
  <c r="K9" i="8"/>
  <c r="L9" i="8" s="1"/>
  <c r="P149" i="6"/>
  <c r="E150" i="6"/>
  <c r="I150" i="6"/>
  <c r="M150" i="6"/>
  <c r="Q150" i="6"/>
  <c r="E151" i="6"/>
  <c r="I151" i="6"/>
  <c r="M151" i="6"/>
  <c r="Q151" i="6"/>
  <c r="E152" i="6"/>
  <c r="I152" i="6"/>
  <c r="M152" i="6"/>
  <c r="Q152" i="6"/>
  <c r="E153" i="6"/>
  <c r="I153" i="6"/>
  <c r="M153" i="6"/>
  <c r="Q153" i="6"/>
  <c r="D154" i="6"/>
  <c r="H154" i="6"/>
  <c r="I154" i="6"/>
  <c r="L154" i="6"/>
  <c r="P154" i="6"/>
  <c r="Q154" i="6"/>
  <c r="D160" i="6"/>
  <c r="E160" i="6" s="1"/>
  <c r="H160" i="6"/>
  <c r="I160" i="6" s="1"/>
  <c r="L160" i="6"/>
  <c r="M160" i="6"/>
  <c r="P160" i="6"/>
  <c r="Q160" i="6" s="1"/>
  <c r="D161" i="6"/>
  <c r="E161" i="6"/>
  <c r="H161" i="6"/>
  <c r="I161" i="6"/>
  <c r="L161" i="6"/>
  <c r="M161" i="6" s="1"/>
  <c r="P161" i="6"/>
  <c r="Q161" i="6"/>
  <c r="D162" i="6"/>
  <c r="E162" i="6"/>
  <c r="H162" i="6"/>
  <c r="I162" i="6" s="1"/>
  <c r="L162" i="6"/>
  <c r="M162" i="6" s="1"/>
  <c r="P162" i="6"/>
  <c r="Q162" i="6"/>
  <c r="E163" i="6"/>
  <c r="I163" i="6"/>
  <c r="M163" i="6"/>
  <c r="Q163" i="6"/>
  <c r="D164" i="6"/>
  <c r="E164" i="6"/>
  <c r="H164" i="6"/>
  <c r="I164" i="6" s="1"/>
  <c r="L164" i="6"/>
  <c r="M164" i="6"/>
  <c r="P164" i="6"/>
  <c r="Q164" i="6"/>
  <c r="D165" i="6"/>
  <c r="E165" i="6" s="1"/>
  <c r="H165" i="6"/>
  <c r="I165" i="6" s="1"/>
  <c r="L165" i="6"/>
  <c r="M165" i="6"/>
  <c r="P165" i="6"/>
  <c r="Q165" i="6" s="1"/>
  <c r="D166" i="6"/>
  <c r="E166" i="6" s="1"/>
  <c r="H166" i="6"/>
  <c r="I166" i="6"/>
  <c r="L166" i="6"/>
  <c r="M166" i="6" s="1"/>
  <c r="P166" i="6"/>
  <c r="Q166" i="6"/>
  <c r="L167" i="6"/>
  <c r="M167" i="6"/>
  <c r="P167" i="6"/>
  <c r="Q167" i="6" s="1"/>
  <c r="B24" i="8"/>
  <c r="C24" i="8"/>
  <c r="C33" i="8" s="1"/>
  <c r="F24" i="8"/>
  <c r="G24" i="8"/>
  <c r="G33" i="8" s="1"/>
  <c r="J24" i="8"/>
  <c r="K24" i="8"/>
  <c r="B28" i="8"/>
  <c r="D28" i="8"/>
  <c r="C28" i="8"/>
  <c r="F28" i="8"/>
  <c r="H28" i="8" s="1"/>
  <c r="G28" i="8"/>
  <c r="J28" i="8"/>
  <c r="L28" i="8" s="1"/>
  <c r="K28" i="8"/>
  <c r="K33" i="8"/>
  <c r="F53" i="3980"/>
  <c r="F58" i="3980" s="1"/>
  <c r="G53" i="3980"/>
  <c r="H53" i="3980"/>
  <c r="H55" i="3980" s="1"/>
  <c r="H58" i="3980" s="1"/>
  <c r="M137" i="6"/>
  <c r="K8" i="8" s="1"/>
  <c r="G10" i="8"/>
  <c r="H10" i="8"/>
  <c r="H167" i="6"/>
  <c r="I167" i="6" s="1"/>
  <c r="K7" i="8"/>
  <c r="D4" i="6578"/>
  <c r="C10" i="6577"/>
  <c r="D10" i="6577"/>
  <c r="D4" i="6577"/>
  <c r="J33" i="8"/>
  <c r="D16" i="6580"/>
  <c r="L18" i="6580"/>
  <c r="E20" i="6580"/>
  <c r="B160" i="6"/>
  <c r="F15" i="6580"/>
  <c r="B20" i="6580"/>
  <c r="K23" i="6580"/>
  <c r="N20" i="6580"/>
  <c r="G16" i="6580"/>
  <c r="N16" i="6580"/>
  <c r="D23" i="6580"/>
  <c r="F19" i="6580"/>
  <c r="H18" i="6580"/>
  <c r="L15" i="6580"/>
  <c r="M19" i="6580"/>
  <c r="L16" i="6580"/>
  <c r="H15" i="6580"/>
  <c r="I16" i="6580"/>
  <c r="M15" i="6580"/>
  <c r="N18" i="6580"/>
  <c r="E34" i="6580"/>
  <c r="K19" i="6580"/>
  <c r="E23" i="6580"/>
  <c r="F18" i="6580"/>
  <c r="J21" i="6580"/>
  <c r="I23" i="6580"/>
  <c r="L20" i="6580"/>
  <c r="G15" i="6580"/>
  <c r="N23" i="6580"/>
  <c r="B19" i="6580"/>
  <c r="H20" i="6580"/>
  <c r="D33" i="6580"/>
  <c r="H17" i="6580"/>
  <c r="G19" i="6580"/>
  <c r="D34" i="6580"/>
  <c r="B163" i="6"/>
  <c r="M16" i="6580"/>
  <c r="E33" i="6580"/>
  <c r="M20" i="6580"/>
  <c r="N19" i="6580"/>
  <c r="H21" i="6580"/>
  <c r="D17" i="6580"/>
  <c r="J19" i="6580"/>
  <c r="H23" i="6580"/>
  <c r="J18" i="6580"/>
  <c r="K17" i="6580"/>
  <c r="B140" i="6"/>
  <c r="E21" i="6580"/>
  <c r="I19" i="6580"/>
  <c r="E18" i="6580"/>
  <c r="J17" i="6580"/>
  <c r="F20" i="6580"/>
  <c r="J20" i="6580"/>
  <c r="M23" i="6580"/>
  <c r="L21" i="6580"/>
  <c r="D19" i="6580"/>
  <c r="B166" i="6"/>
  <c r="J16" i="6580"/>
  <c r="D18" i="6580"/>
  <c r="B16" i="6580"/>
  <c r="I18" i="6580"/>
  <c r="K21" i="6580"/>
  <c r="K15" i="6580"/>
  <c r="K16" i="6580"/>
  <c r="E16" i="6580"/>
  <c r="N17" i="6580"/>
  <c r="B164" i="6"/>
  <c r="B28" i="6580"/>
  <c r="B167" i="6"/>
  <c r="G23" i="6580"/>
  <c r="G18" i="6580"/>
  <c r="B165" i="6"/>
  <c r="B21" i="6580"/>
  <c r="G20" i="6580"/>
  <c r="B161" i="6"/>
  <c r="H16" i="6580"/>
  <c r="B162" i="6"/>
  <c r="B141" i="6"/>
  <c r="B18" i="6580"/>
  <c r="L19" i="6580"/>
  <c r="E17" i="6580"/>
  <c r="N21" i="6580"/>
  <c r="J15" i="6580"/>
  <c r="M18" i="6580"/>
  <c r="D21" i="6580"/>
  <c r="B34" i="6580"/>
  <c r="I17" i="6580"/>
  <c r="F17" i="6580"/>
  <c r="I15" i="6580"/>
  <c r="F16" i="6580"/>
  <c r="D27" i="6580"/>
  <c r="D28" i="6580"/>
  <c r="D15" i="6580"/>
  <c r="B27" i="6580"/>
  <c r="B33" i="6580"/>
  <c r="G21" i="6580"/>
  <c r="K20" i="6580"/>
  <c r="H19" i="6580"/>
  <c r="F23" i="6580"/>
  <c r="E15" i="6580"/>
  <c r="B17" i="6580"/>
  <c r="E19" i="6580"/>
  <c r="I21" i="6580"/>
  <c r="G17" i="6580"/>
  <c r="I20" i="6580"/>
  <c r="F21" i="6580"/>
  <c r="D20" i="6580"/>
  <c r="M17" i="6580"/>
  <c r="K18" i="6580"/>
  <c r="N15" i="6580"/>
  <c r="L17" i="6580"/>
  <c r="J23" i="6580"/>
  <c r="B15" i="6580"/>
  <c r="M21" i="6580"/>
  <c r="L23" i="6580"/>
  <c r="F24" i="6580" l="1"/>
  <c r="F34" i="6580"/>
  <c r="L24" i="6580"/>
  <c r="F27" i="6580"/>
  <c r="F29" i="6580" s="1"/>
  <c r="F30" i="6580" s="1"/>
  <c r="D29" i="6580"/>
  <c r="D30" i="6580" s="1"/>
  <c r="G24" i="6580"/>
  <c r="F28" i="6580"/>
  <c r="F45" i="6580" s="1"/>
  <c r="D24" i="6580"/>
  <c r="F42" i="6580"/>
  <c r="F33" i="6580"/>
  <c r="F44" i="6580"/>
  <c r="F50" i="6580"/>
  <c r="N24" i="6580"/>
  <c r="K24" i="6580"/>
  <c r="M28" i="6580"/>
  <c r="M24" i="6580"/>
  <c r="J24" i="6580"/>
  <c r="I24" i="6580"/>
  <c r="E24" i="6580"/>
  <c r="H24" i="6580"/>
  <c r="B12" i="8"/>
  <c r="D7" i="8"/>
  <c r="D8" i="8"/>
  <c r="Q149" i="6"/>
  <c r="Q156" i="6" s="1"/>
  <c r="P156" i="6"/>
  <c r="Q99" i="6"/>
  <c r="C12" i="6578"/>
  <c r="D12" i="6578" s="1"/>
  <c r="H24" i="8"/>
  <c r="H33" i="8" s="1"/>
  <c r="F33" i="8"/>
  <c r="M43" i="6"/>
  <c r="J7" i="8" s="1"/>
  <c r="D27" i="6578"/>
  <c r="H156" i="6"/>
  <c r="I149" i="6"/>
  <c r="I99" i="6"/>
  <c r="F8" i="8" s="1"/>
  <c r="H8" i="8" s="1"/>
  <c r="L24" i="8"/>
  <c r="L33" i="8" s="1"/>
  <c r="L156" i="6"/>
  <c r="M154" i="6"/>
  <c r="M99" i="6"/>
  <c r="J8" i="8" s="1"/>
  <c r="L8" i="8" s="1"/>
  <c r="Q43" i="6"/>
  <c r="E154" i="6"/>
  <c r="D156" i="6"/>
  <c r="D24" i="8"/>
  <c r="D33" i="8" s="1"/>
  <c r="B33" i="8"/>
  <c r="I43" i="6"/>
  <c r="F7" i="8" s="1"/>
  <c r="F46" i="6580" l="1"/>
  <c r="J12" i="8"/>
  <c r="L7" i="8"/>
  <c r="K10" i="8"/>
  <c r="M156" i="6"/>
  <c r="H7" i="8"/>
  <c r="F12" i="8"/>
  <c r="C10" i="8"/>
  <c r="D167" i="6"/>
  <c r="E167" i="6" s="1"/>
  <c r="E156" i="6"/>
  <c r="G9" i="8"/>
  <c r="I156" i="6"/>
  <c r="F48" i="6580"/>
  <c r="F52" i="6580"/>
  <c r="F35" i="6580"/>
  <c r="F47" i="6580"/>
  <c r="H9" i="8" l="1"/>
  <c r="G12" i="8"/>
  <c r="H12" i="8"/>
  <c r="H14" i="8" s="1"/>
  <c r="L10" i="8"/>
  <c r="K12" i="8"/>
  <c r="IB13" i="6574"/>
  <c r="D10" i="8"/>
  <c r="D12" i="8" s="1"/>
  <c r="D14" i="8" s="1"/>
  <c r="C12" i="8"/>
  <c r="L12" i="8"/>
  <c r="L14" i="8" s="1"/>
</calcChain>
</file>

<file path=xl/comments1.xml><?xml version="1.0" encoding="utf-8"?>
<comments xmlns="http://schemas.openxmlformats.org/spreadsheetml/2006/main">
  <authors>
    <author>Ghizlane Berrada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>Ghizlane Berrada:</t>
        </r>
        <r>
          <rPr>
            <sz val="8"/>
            <color indexed="81"/>
            <rFont val="Tahoma"/>
            <family val="2"/>
          </rPr>
          <t xml:space="preserve">
Acquisition d'Acea chez SE (27,292 M€)+Acquisition d'Eyath chez S1000(0,183 M€)
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Ghizlane Berrada:</t>
        </r>
        <r>
          <rPr>
            <sz val="8"/>
            <color indexed="81"/>
            <rFont val="Tahoma"/>
            <family val="2"/>
          </rPr>
          <t xml:space="preserve">
Variation de JV Acea chez OI (11,90M€)+Variation de JV Acea chez S1000(0,809M€)+Variation de JV Eyath chez SE(-1,509M€)
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Ghizlane Berrada:</t>
        </r>
        <r>
          <rPr>
            <sz val="8"/>
            <color indexed="81"/>
            <rFont val="Tahoma"/>
            <family val="2"/>
          </rPr>
          <t xml:space="preserve">
Agbar+Suyu</t>
        </r>
      </text>
    </comment>
  </commentList>
</comments>
</file>

<file path=xl/comments2.xml><?xml version="1.0" encoding="utf-8"?>
<comments xmlns="http://schemas.openxmlformats.org/spreadsheetml/2006/main">
  <authors>
    <author>ankodia</author>
  </authors>
  <commentList>
    <comment ref="C11" authorId="0">
      <text>
        <r>
          <rPr>
            <b/>
            <sz val="8"/>
            <color indexed="81"/>
            <rFont val="Tahoma"/>
            <family val="2"/>
          </rPr>
          <t>ankodia:</t>
        </r>
        <r>
          <rPr>
            <sz val="8"/>
            <color indexed="81"/>
            <rFont val="Tahoma"/>
            <family val="2"/>
          </rPr>
          <t xml:space="preserve">
+0,1 pour matcher au total
</t>
        </r>
      </text>
    </comment>
  </commentList>
</comments>
</file>

<file path=xl/sharedStrings.xml><?xml version="1.0" encoding="utf-8"?>
<sst xmlns="http://schemas.openxmlformats.org/spreadsheetml/2006/main" count="803" uniqueCount="475">
  <si>
    <t>31 décembre 2005</t>
  </si>
  <si>
    <t>31 décembre 2004</t>
  </si>
  <si>
    <t>En millions d’euros</t>
  </si>
  <si>
    <t>Part non courante</t>
  </si>
  <si>
    <t>Part courante</t>
  </si>
  <si>
    <t>Total</t>
  </si>
  <si>
    <t>Titres disponibles à la vente</t>
  </si>
  <si>
    <t>Instruments financiers dérivés 
(yc. Matières premières)</t>
  </si>
  <si>
    <t>Prêts et créances au coût amorti</t>
  </si>
  <si>
    <t>Créances clients et comptes 
rattachés</t>
  </si>
  <si>
    <t>Titres de placement de trésorerie</t>
  </si>
  <si>
    <t>A=26101</t>
  </si>
  <si>
    <t>Titres de participation consolidés</t>
  </si>
  <si>
    <t>A=26102</t>
  </si>
  <si>
    <t>Prov- Titres de participation consolidés</t>
  </si>
  <si>
    <t>A=26211</t>
  </si>
  <si>
    <t>Titres non conso AFS NC</t>
  </si>
  <si>
    <t>A=26212</t>
  </si>
  <si>
    <t>Variation FV TNC AFS NC</t>
  </si>
  <si>
    <t>A=26213</t>
  </si>
  <si>
    <t>Impairment sur TNC AFS NC</t>
  </si>
  <si>
    <t>A=2601D</t>
  </si>
  <si>
    <t>Valeur d'équi. des stés déconso NC</t>
  </si>
  <si>
    <t>A=2602D</t>
  </si>
  <si>
    <t>Dépréciation val. d'équi. stés décons NC</t>
  </si>
  <si>
    <t>A=26201</t>
  </si>
  <si>
    <t>Titres non conso AFS</t>
  </si>
  <si>
    <t>A=26202</t>
  </si>
  <si>
    <t>Variation FV hors impairment TNC AFS</t>
  </si>
  <si>
    <t>A=26203</t>
  </si>
  <si>
    <t>Impairment sur TNC AFS</t>
  </si>
  <si>
    <t>A=2611D</t>
  </si>
  <si>
    <t>Valeur d'équivalence des stés déconso</t>
  </si>
  <si>
    <t>A=2612D</t>
  </si>
  <si>
    <t>Déprc. val. d'équiv. des stés déconso</t>
  </si>
  <si>
    <t>NC</t>
  </si>
  <si>
    <t>A=50801</t>
  </si>
  <si>
    <t>VMP AFS</t>
  </si>
  <si>
    <t>A=50802</t>
  </si>
  <si>
    <t>Variation FV hors impairment VMP AFS</t>
  </si>
  <si>
    <t>A=50803</t>
  </si>
  <si>
    <t>Impairment VMP AFS</t>
  </si>
  <si>
    <t>C</t>
  </si>
  <si>
    <t>A=49101</t>
  </si>
  <si>
    <t>Var FV dérivés cachés ctrt commo NC</t>
  </si>
  <si>
    <t>A=49111</t>
  </si>
  <si>
    <t>Day 1 réserve P&amp;L - spec non cash NC</t>
  </si>
  <si>
    <t>A=49231</t>
  </si>
  <si>
    <t>Day 1 réserve P&amp;L - trading cash NC</t>
  </si>
  <si>
    <t>A=49121</t>
  </si>
  <si>
    <t>Var FV contrats commo  - spe non cash NC</t>
  </si>
  <si>
    <t>A=49241</t>
  </si>
  <si>
    <t>Var FV contrats commo - trad cash NC</t>
  </si>
  <si>
    <t>A=49141</t>
  </si>
  <si>
    <t>Instrument financier commodities NC</t>
  </si>
  <si>
    <t>A=49081</t>
  </si>
  <si>
    <t>Inst couv ctrt commodities CFH NC</t>
  </si>
  <si>
    <t>A=26711</t>
  </si>
  <si>
    <t>Ins couv FVH/CFH im fi - Ins fi ti im NC</t>
  </si>
  <si>
    <t>A=48441</t>
  </si>
  <si>
    <t>Instrument de couv/spécu BFR exploit NC</t>
  </si>
  <si>
    <t>A=48451</t>
  </si>
  <si>
    <t>Variation FV BFR exploit NC</t>
  </si>
  <si>
    <t>A=45571</t>
  </si>
  <si>
    <t>Instr de couv/spécu BFR hors exploi NC</t>
  </si>
  <si>
    <t>A=45581</t>
  </si>
  <si>
    <t>Variation FV BFR hors exploit NC</t>
  </si>
  <si>
    <t>A=26221</t>
  </si>
  <si>
    <t>Instrument couverture sur TNC</t>
  </si>
  <si>
    <t>A=56851</t>
  </si>
  <si>
    <t>Instrument de couverture/spécu dette</t>
  </si>
  <si>
    <t>A=56871</t>
  </si>
  <si>
    <t>Instrument de couverture VMP</t>
  </si>
  <si>
    <t>A=56881</t>
  </si>
  <si>
    <t>Instrument de couverture quasi VMP</t>
  </si>
  <si>
    <t>A=49001</t>
  </si>
  <si>
    <t>Var FV dérivés cachés ctrt commodities</t>
  </si>
  <si>
    <t>A=49011</t>
  </si>
  <si>
    <t>Day 1 réserve P&amp;L - spec non cash</t>
  </si>
  <si>
    <t>A=49211</t>
  </si>
  <si>
    <t>Day 1 réserve P&amp;L - trading cash</t>
  </si>
  <si>
    <t>A=49021</t>
  </si>
  <si>
    <t>Var FV contrats commo - spec non cash</t>
  </si>
  <si>
    <t>A=49221</t>
  </si>
  <si>
    <t>Var FV contrats commodities - trad cash</t>
  </si>
  <si>
    <t>A=49041</t>
  </si>
  <si>
    <t>Instrument financier commodities</t>
  </si>
  <si>
    <t>A=49051</t>
  </si>
  <si>
    <t>Instrument couv ctrt commodities CFH</t>
  </si>
  <si>
    <t>A=49061</t>
  </si>
  <si>
    <t>Instrument couv ctrt commodities FVH</t>
  </si>
  <si>
    <t>A=49071</t>
  </si>
  <si>
    <t>Var FV elt couv eng ferme commo FVH</t>
  </si>
  <si>
    <t>A=26701</t>
  </si>
  <si>
    <t>Ins couv FVH/CFH im fi - Ins fi titre im</t>
  </si>
  <si>
    <t>A=48421</t>
  </si>
  <si>
    <t>Instrument de couv/spécu BFR exploit</t>
  </si>
  <si>
    <t>A=48431</t>
  </si>
  <si>
    <t>Variation FV BFR exploit</t>
  </si>
  <si>
    <t>A=45551</t>
  </si>
  <si>
    <t>Instrument de couv/spécu BFR hors exploi</t>
  </si>
  <si>
    <t>A=45561</t>
  </si>
  <si>
    <t>Variation FV BFR hors exploit</t>
  </si>
  <si>
    <t>A=26301</t>
  </si>
  <si>
    <t>Créances rattachées capitalisables</t>
  </si>
  <si>
    <t>A=26302</t>
  </si>
  <si>
    <t>Var FV créances ratt cap émises par ets</t>
  </si>
  <si>
    <t>A=26303</t>
  </si>
  <si>
    <t>Imp créances ratt cap émises par l'ets</t>
  </si>
  <si>
    <t>A=26304</t>
  </si>
  <si>
    <t>Coût am créances ratt cap émises par ets</t>
  </si>
  <si>
    <t>A=27351</t>
  </si>
  <si>
    <t>Autres prêts NC</t>
  </si>
  <si>
    <t>A=27352</t>
  </si>
  <si>
    <t>Var FV autres prêts NC</t>
  </si>
  <si>
    <t>A=27353</t>
  </si>
  <si>
    <t>Impairment autres prêts NC</t>
  </si>
  <si>
    <t>A=27354</t>
  </si>
  <si>
    <t>Coût amorti autres prêts NC</t>
  </si>
  <si>
    <t>A=26411</t>
  </si>
  <si>
    <t>Créances rattachées remboursables NC</t>
  </si>
  <si>
    <t>A=26412</t>
  </si>
  <si>
    <t>Var FV créances rattachées remb NC</t>
  </si>
  <si>
    <t>A=26413</t>
  </si>
  <si>
    <t>Impairment créances ratt remb NC</t>
  </si>
  <si>
    <t>A=26414</t>
  </si>
  <si>
    <t>Coût amorti créances ratt remb NC</t>
  </si>
  <si>
    <t>A=27311</t>
  </si>
  <si>
    <t>Prêts NC</t>
  </si>
  <si>
    <t>A=27312</t>
  </si>
  <si>
    <t>Var FV prêts à caract de dette nette NC</t>
  </si>
  <si>
    <t>A=27313</t>
  </si>
  <si>
    <t>Imp prêts à caract de dette nette NC</t>
  </si>
  <si>
    <t>A=27314</t>
  </si>
  <si>
    <t>Coût amorti prêts à car dette nette NC</t>
  </si>
  <si>
    <t>A=27331</t>
  </si>
  <si>
    <t>Restricted cash NC</t>
  </si>
  <si>
    <t>A=27332</t>
  </si>
  <si>
    <t>Var FV restricted cash NC</t>
  </si>
  <si>
    <t>A=27333</t>
  </si>
  <si>
    <t>Impairment restricted cash NC</t>
  </si>
  <si>
    <t>A=27334</t>
  </si>
  <si>
    <t>Coût amorti restricted cash NC</t>
  </si>
  <si>
    <t>A=27111</t>
  </si>
  <si>
    <t>Autres titres (droits de propriété) NC</t>
  </si>
  <si>
    <t>A=27112</t>
  </si>
  <si>
    <t>Prov- Autres titres (drts propriété) NC</t>
  </si>
  <si>
    <t>A=27211</t>
  </si>
  <si>
    <t>Titres sur créances négociables NC</t>
  </si>
  <si>
    <t>A=27212</t>
  </si>
  <si>
    <t>Prov- Titres sur créances négociables NC</t>
  </si>
  <si>
    <t>A=27881</t>
  </si>
  <si>
    <t>Autres immobilisations financières NC</t>
  </si>
  <si>
    <t>A=27882</t>
  </si>
  <si>
    <t>Var FV autres immo financières NC</t>
  </si>
  <si>
    <t>A=27883</t>
  </si>
  <si>
    <t>Impairment autres immo financières NC</t>
  </si>
  <si>
    <t>A=27884</t>
  </si>
  <si>
    <t>Coût amorti autres immo fi NC</t>
  </si>
  <si>
    <t>A=46211</t>
  </si>
  <si>
    <t>Créances s/immo. financières NC</t>
  </si>
  <si>
    <t>A=46212</t>
  </si>
  <si>
    <t>Prov. - Créances s/immo. financières NC</t>
  </si>
  <si>
    <t>A=44811</t>
  </si>
  <si>
    <t>Créance sur encaiss.pour cpte de tiersNC</t>
  </si>
  <si>
    <t>A=44812</t>
  </si>
  <si>
    <t>Prov - Créance encaiss.pour cpte tiersNC</t>
  </si>
  <si>
    <t>A=45111</t>
  </si>
  <si>
    <t>C/C stés apparent., SEP, GIE (Actif) NC</t>
  </si>
  <si>
    <t>A=45112</t>
  </si>
  <si>
    <t>Prov C/C actif stés apparent.,SEP,GIE NC</t>
  </si>
  <si>
    <t>A=27341</t>
  </si>
  <si>
    <t>Autres prêts à caractère opérationnel</t>
  </si>
  <si>
    <t>A=27342</t>
  </si>
  <si>
    <t>Var FV autres prêts</t>
  </si>
  <si>
    <t>A=27343</t>
  </si>
  <si>
    <t>Impairment autres prêts</t>
  </si>
  <si>
    <t>A=27344</t>
  </si>
  <si>
    <t>Coût amorti autres prêts</t>
  </si>
  <si>
    <t>A=27421</t>
  </si>
  <si>
    <t>ICNE s/ cré. ratta. capit. &amp;autres prêts</t>
  </si>
  <si>
    <t>A=27422</t>
  </si>
  <si>
    <t>Prov ICNE s/cré ratta capit&amp;autres prêts</t>
  </si>
  <si>
    <t>A=26401</t>
  </si>
  <si>
    <t>Créances rattachées remboursables</t>
  </si>
  <si>
    <t>A=26402</t>
  </si>
  <si>
    <t>Var FV créances rattachées remb</t>
  </si>
  <si>
    <t>A=26403</t>
  </si>
  <si>
    <t>Impairment créances rattachées remb</t>
  </si>
  <si>
    <t>A=26404</t>
  </si>
  <si>
    <t>Coût amorti créances rattachées remb</t>
  </si>
  <si>
    <t>A=27301</t>
  </si>
  <si>
    <t>Prêts à caractère de dette nette</t>
  </si>
  <si>
    <t>A=27302</t>
  </si>
  <si>
    <t>Var FV prêts à caractère de dette nette</t>
  </si>
  <si>
    <t>A=27303</t>
  </si>
  <si>
    <t>Impairment prêts à caract de dette nette</t>
  </si>
  <si>
    <t>A=27304</t>
  </si>
  <si>
    <t>Coût amorti prêts à caract dette nette</t>
  </si>
  <si>
    <t>A=27321</t>
  </si>
  <si>
    <t>Restricted cash</t>
  </si>
  <si>
    <t>A=27322</t>
  </si>
  <si>
    <t>Var FV restricted cash</t>
  </si>
  <si>
    <t>A=27323</t>
  </si>
  <si>
    <t>Impairment restricted cash</t>
  </si>
  <si>
    <t>A=27324</t>
  </si>
  <si>
    <t>Coût amorti restricted cash</t>
  </si>
  <si>
    <t>A=27401</t>
  </si>
  <si>
    <t>ICNE sur créances rattachées et prêts</t>
  </si>
  <si>
    <t>A=27402</t>
  </si>
  <si>
    <t>Prov ICNE s/cré rat remb,prêts,rest cash</t>
  </si>
  <si>
    <t>A=27901</t>
  </si>
  <si>
    <t>Autres immo fi AFS</t>
  </si>
  <si>
    <t>A=27902</t>
  </si>
  <si>
    <t>Var FV hors imp autres im fi non con AFS</t>
  </si>
  <si>
    <t>A=27903</t>
  </si>
  <si>
    <t>Impairment autres immo fi non conso AFS</t>
  </si>
  <si>
    <t>A=27511</t>
  </si>
  <si>
    <t>Surdimensionnement titrisation (cap+int)</t>
  </si>
  <si>
    <t>A=27512</t>
  </si>
  <si>
    <t>Prov.pour surdimensionnement titrisation</t>
  </si>
  <si>
    <t>A=27101</t>
  </si>
  <si>
    <t>Autres titres (droits de propriété)</t>
  </si>
  <si>
    <t>A=27102</t>
  </si>
  <si>
    <t>Prov- Autres titres (dts de propriété)</t>
  </si>
  <si>
    <t>A=27201</t>
  </si>
  <si>
    <t>Titres sur créances négociables</t>
  </si>
  <si>
    <t>A=27202</t>
  </si>
  <si>
    <t>Prov- Titres sur créances négociables</t>
  </si>
  <si>
    <t>A=46201</t>
  </si>
  <si>
    <t>Créances s/immo financières</t>
  </si>
  <si>
    <t>A=46202</t>
  </si>
  <si>
    <t>Prov- Créances s/immo financières</t>
  </si>
  <si>
    <t>A=44801</t>
  </si>
  <si>
    <t>Créance sur encaiss.pour compte de tiers</t>
  </si>
  <si>
    <t>A=44802</t>
  </si>
  <si>
    <t>Prov - Créance encaiss.pour cpte tiers</t>
  </si>
  <si>
    <t>A=27891</t>
  </si>
  <si>
    <t>Autres immo fi HTM</t>
  </si>
  <si>
    <t>A=27892</t>
  </si>
  <si>
    <t>Var FV autres immo financières HTM</t>
  </si>
  <si>
    <t>A=27893</t>
  </si>
  <si>
    <t>Impairment autres immo financières HTM</t>
  </si>
  <si>
    <t>A=27894</t>
  </si>
  <si>
    <t>Coût amorti autres immo financières HTM</t>
  </si>
  <si>
    <t>A=41001</t>
  </si>
  <si>
    <t>Clients et comptes rattachés</t>
  </si>
  <si>
    <t>A=41002</t>
  </si>
  <si>
    <t>Prov- Clients et comptes rattachés</t>
  </si>
  <si>
    <t>A=41301</t>
  </si>
  <si>
    <t>Clients effets à recevoir</t>
  </si>
  <si>
    <t>A=41302</t>
  </si>
  <si>
    <t>Prov - Clients effets à recevoir</t>
  </si>
  <si>
    <t>A=44901</t>
  </si>
  <si>
    <t>Créances liées contrats construc. IAS 11</t>
  </si>
  <si>
    <t>A=40901</t>
  </si>
  <si>
    <t>Av &amp; acomptes versés s/commandes</t>
  </si>
  <si>
    <t>A=40902</t>
  </si>
  <si>
    <t>Prov- Av &amp; acomptes versés s/commandes</t>
  </si>
  <si>
    <t>A=46101</t>
  </si>
  <si>
    <t>Créances s/immo corp et incorp</t>
  </si>
  <si>
    <t>A=46102</t>
  </si>
  <si>
    <t>Prov- Créances s/immo corp et incorp</t>
  </si>
  <si>
    <t>A=26231</t>
  </si>
  <si>
    <t>Titres non conso trading</t>
  </si>
  <si>
    <t>A=26232</t>
  </si>
  <si>
    <t>Variation FV TNC trading</t>
  </si>
  <si>
    <t>A=50821</t>
  </si>
  <si>
    <t>VMP Trading</t>
  </si>
  <si>
    <t>A=50822</t>
  </si>
  <si>
    <t>Variation FV VMP trading</t>
  </si>
  <si>
    <t>Z=CONSO</t>
  </si>
  <si>
    <t>M=F99</t>
  </si>
  <si>
    <t>T=IFRS</t>
  </si>
  <si>
    <t>V=0DEF1</t>
  </si>
  <si>
    <t>U=2005.02</t>
  </si>
  <si>
    <t>PLUG</t>
  </si>
  <si>
    <t>2005.12</t>
  </si>
  <si>
    <t>P=2005.02</t>
  </si>
  <si>
    <t>A=56841</t>
  </si>
  <si>
    <t>A=56861</t>
  </si>
  <si>
    <t>Instrument de couverture/spécu dette NC</t>
  </si>
  <si>
    <t>Instrument couverture NIH</t>
  </si>
  <si>
    <t>A=41101</t>
  </si>
  <si>
    <t>A=41102</t>
  </si>
  <si>
    <t>V=0YV1</t>
  </si>
  <si>
    <t xml:space="preserve"> -      </t>
  </si>
  <si>
    <t>31 décembre 2006</t>
  </si>
  <si>
    <t>U=2006.12</t>
  </si>
  <si>
    <t>P=2006.12</t>
  </si>
  <si>
    <t>A=27501</t>
  </si>
  <si>
    <t>A=27503</t>
  </si>
  <si>
    <t>A=27871</t>
  </si>
  <si>
    <t>Créances concessions NC</t>
  </si>
  <si>
    <t>Impairement créances concessions NC</t>
  </si>
  <si>
    <t>Créances de location financement NC</t>
  </si>
  <si>
    <t>Vérif des comptes pris en compte dans cette annexe et dans l 'annexe 19.2</t>
  </si>
  <si>
    <t>commun aux 2</t>
  </si>
  <si>
    <t>en plus dans 19.2</t>
  </si>
  <si>
    <t xml:space="preserve">TOTAL </t>
  </si>
  <si>
    <t>ok 19.2</t>
  </si>
  <si>
    <t>GetCarat</t>
  </si>
  <si>
    <t>montants définitifs</t>
  </si>
  <si>
    <t>U=2005.12</t>
  </si>
  <si>
    <t>P=2005.12</t>
  </si>
  <si>
    <t>Impairment- Créances concessions NC</t>
  </si>
  <si>
    <t>Créances de location-financement NC</t>
  </si>
  <si>
    <t>2006.12</t>
  </si>
  <si>
    <t>31 décembre 2004 - publié</t>
  </si>
  <si>
    <t>R=SEPRF</t>
  </si>
  <si>
    <t>A=@WLA05-04</t>
  </si>
  <si>
    <t>A=@WLA05-05</t>
  </si>
  <si>
    <t>A=@WLA05-14</t>
  </si>
  <si>
    <t>A=@WLA05-08</t>
  </si>
  <si>
    <t>A=@WLA05-18</t>
  </si>
  <si>
    <t>A=@WLA05-15</t>
  </si>
  <si>
    <t>A=@WLA05-20</t>
  </si>
  <si>
    <t>A=@WLA05-17</t>
  </si>
  <si>
    <t>check</t>
  </si>
  <si>
    <t>1er Janvier 2005</t>
  </si>
  <si>
    <t>1er janvier 2005</t>
  </si>
  <si>
    <t>Actifs financiers évalués à la juste valeur par résultat</t>
  </si>
  <si>
    <t xml:space="preserve">     Prêts et créances au coût amorti</t>
  </si>
  <si>
    <t xml:space="preserve">     Clients et autres débiteurs</t>
  </si>
  <si>
    <t xml:space="preserve">     Instruments financiers dérivés 
     (yc. Matières premières)</t>
  </si>
  <si>
    <t>NOTE 13 - Actifs financiers</t>
  </si>
  <si>
    <t>LE TABLEAU A CHANGE !!!</t>
  </si>
  <si>
    <t>Trésorerie et équivalents de trésorerie</t>
  </si>
  <si>
    <t>31 décembre 2007</t>
  </si>
  <si>
    <t>année</t>
  </si>
  <si>
    <t>mois</t>
  </si>
  <si>
    <t>CA=IFRS</t>
  </si>
  <si>
    <t>RU sum [All values]</t>
  </si>
  <si>
    <t>AU sum [All values]</t>
  </si>
  <si>
    <t>CC=EURCONSO</t>
  </si>
  <si>
    <t>FL=F99</t>
  </si>
  <si>
    <t>{T=REEL,U=2004.12}+{T=RETIFRS,U=2004.12}+{T=RETIFRS,U=2004.10}+{T=RETIFRS,U=2004.09}</t>
  </si>
  <si>
    <t>SC=5SE</t>
  </si>
  <si>
    <t>VA=0DEF2</t>
  </si>
  <si>
    <t>DP=2007.12</t>
  </si>
  <si>
    <t>PE=2007.12</t>
  </si>
  <si>
    <t>2007.Décembre</t>
  </si>
  <si>
    <t>A=51101</t>
  </si>
  <si>
    <t>A=51201</t>
  </si>
  <si>
    <t>A=55101</t>
  </si>
  <si>
    <t>A=50811</t>
  </si>
  <si>
    <t>A=50812</t>
  </si>
  <si>
    <t>A=55201</t>
  </si>
  <si>
    <t>A=52101</t>
  </si>
  <si>
    <t>A=55102</t>
  </si>
  <si>
    <t>A=50831</t>
  </si>
  <si>
    <t>A=50832</t>
  </si>
  <si>
    <t>A=50833</t>
  </si>
  <si>
    <t>A=@01A05-23</t>
  </si>
  <si>
    <t>A=@01A05-17</t>
  </si>
  <si>
    <t>Titres de placements de trésorerie</t>
  </si>
  <si>
    <t>Disponibilités</t>
  </si>
  <si>
    <t>Dépôts à terme</t>
  </si>
  <si>
    <t>C/C stés apparentées trésorerie (Actif)</t>
  </si>
  <si>
    <t>Quasi VMP Trading</t>
  </si>
  <si>
    <t>Var FV quasi VMP</t>
  </si>
  <si>
    <t>Int.cour.non échus sur valeurs financ.</t>
  </si>
  <si>
    <t>Instrument de trésorerie (Actif)</t>
  </si>
  <si>
    <t>Prov C/C tréso A &amp; dépôts terme stés app</t>
  </si>
  <si>
    <t>Quasi VMP AFS</t>
  </si>
  <si>
    <t>Var FV hors impairment quasi VMP AFS</t>
  </si>
  <si>
    <t>Impairment quasi VMP AFS</t>
  </si>
  <si>
    <t>SC=5SEV</t>
  </si>
  <si>
    <t>VA=0DEF1</t>
  </si>
  <si>
    <t>plug</t>
  </si>
  <si>
    <t>31 déc.</t>
  </si>
  <si>
    <t>DP=2006.12</t>
  </si>
  <si>
    <t>DP=2005.12</t>
  </si>
  <si>
    <t>PE=2006.12</t>
  </si>
  <si>
    <t>PE=2005.12</t>
  </si>
  <si>
    <t>2008.Décembre</t>
  </si>
  <si>
    <t>2006.Décembre</t>
  </si>
  <si>
    <t>2005.Décembre</t>
  </si>
  <si>
    <t>Niveau 1</t>
  </si>
  <si>
    <t>Niveau 2</t>
  </si>
  <si>
    <t>Niveau 3</t>
  </si>
  <si>
    <t>Dettes financières</t>
  </si>
  <si>
    <t>Instruments financiers dérivés</t>
  </si>
  <si>
    <t xml:space="preserve">    Instruments financiers dérivés relatifs à la dette</t>
  </si>
  <si>
    <t xml:space="preserve">    Instruments financiers dérivés relatifs aux autres 
    éléments</t>
  </si>
  <si>
    <t xml:space="preserve">    Instruments financiers sur les matières premières</t>
  </si>
  <si>
    <t>En millions d'euros</t>
  </si>
  <si>
    <t>Acquisitions</t>
  </si>
  <si>
    <t>Variations de périmètre, change et divers</t>
  </si>
  <si>
    <t>Au 31 décembre 2010</t>
  </si>
  <si>
    <t>Au 31 décembre 2011</t>
  </si>
  <si>
    <t>Cessions (valeur comptable cédée)</t>
  </si>
  <si>
    <t>Variation de juste valeur enregistrée en capitaux propres</t>
  </si>
  <si>
    <t>Variation de juste valeur enregistrée en résultat</t>
  </si>
  <si>
    <t>Prêts et créances au coût amorti (hors clients et autres débiteurs)</t>
  </si>
  <si>
    <t>Actifs financiers évalués à la juste valeur par résultat hors dérivés</t>
  </si>
  <si>
    <t>TOTAL</t>
  </si>
  <si>
    <t>Tableau Kenny (AFS niveaux 1 et 3)</t>
  </si>
  <si>
    <t>Niveaux 1 et 3</t>
  </si>
  <si>
    <t>Niveau 3 (par différence)</t>
  </si>
  <si>
    <t>Détail des AFS côtés (Niveau 1)</t>
  </si>
  <si>
    <t xml:space="preserve">Delta </t>
  </si>
  <si>
    <t>Explication de la variation</t>
  </si>
  <si>
    <t>L1600IG Agbar</t>
  </si>
  <si>
    <t>Acquisition Electrica Puntilla (10,6 M€ ), sortie American State Water (-7,9 M€)</t>
  </si>
  <si>
    <t>L1704 Suyu (Chongquing Water Group)</t>
  </si>
  <si>
    <t>Ecart de change</t>
  </si>
  <si>
    <t>L1760 OI (Titres ACEA)</t>
  </si>
  <si>
    <t>Acquisition + 27,3 et variation de juste valeur -50,8 M€</t>
  </si>
  <si>
    <t>S1000 SE (Titres ACEA)</t>
  </si>
  <si>
    <t>Impact Acquisition (2,3 M€) Variation de JV en OCI sur les nouveaux titres (-0,3 M€), sortie des titres cédés à Acea(-0,8 M€), cession à OI (-27,3M€)</t>
  </si>
  <si>
    <t>S1000 SE (Titres EYATH)</t>
  </si>
  <si>
    <t>Variation de JV</t>
  </si>
  <si>
    <t>Autres NS</t>
  </si>
  <si>
    <t>Au 31 décembre 2009</t>
  </si>
  <si>
    <t>Cessions, en valeur nette comptable</t>
  </si>
  <si>
    <t>Perte de valeur</t>
  </si>
  <si>
    <t>Variation de JV enregistrées en CP</t>
  </si>
  <si>
    <t>Variation de périmètre, change et divers</t>
  </si>
  <si>
    <t>Variation de Périmètre (Passage IP à IG D'agbar)</t>
  </si>
  <si>
    <t>L1603IG Agbar</t>
  </si>
  <si>
    <t>Idem</t>
  </si>
  <si>
    <t>Les titres ont été côtés cette année =&gt; Classé en Variation de périmètre, change et divers</t>
  </si>
  <si>
    <r>
      <t xml:space="preserve">Variation de JV impact OCI </t>
    </r>
    <r>
      <rPr>
        <sz val="10"/>
        <color indexed="10"/>
        <rFont val="Arial"/>
        <family val="2"/>
      </rPr>
      <t>(Ok classeur Ondeo Italia</t>
    </r>
    <r>
      <rPr>
        <sz val="10"/>
        <rFont val="Arial"/>
      </rPr>
      <t>)</t>
    </r>
  </si>
  <si>
    <r>
      <t xml:space="preserve">Impact acquisition (27, 292 M€) Impact variation de JV (0,809 M€) </t>
    </r>
    <r>
      <rPr>
        <sz val="10"/>
        <color indexed="10"/>
        <rFont val="Arial"/>
        <family val="2"/>
      </rPr>
      <t>Cf. Tableau Compta sociale</t>
    </r>
  </si>
  <si>
    <r>
      <t xml:space="preserve">Impact acquisition (0,183 M€) Variation de JV impact OCI(-1,529 M€) </t>
    </r>
    <r>
      <rPr>
        <sz val="10"/>
        <color indexed="10"/>
        <rFont val="Arial"/>
        <family val="2"/>
      </rPr>
      <t>Cf. Tableau Compta sociale</t>
    </r>
  </si>
  <si>
    <t>31 décembre 2012</t>
  </si>
  <si>
    <t>RU sum I600000</t>
  </si>
  <si>
    <t>{FL=F80}+{FL=F81}</t>
  </si>
  <si>
    <t>{FL=F89}+{FL=F90}+{FL=F91}+{FL=F92}+{FL=F98}</t>
  </si>
  <si>
    <t>F00</t>
  </si>
  <si>
    <t>F02</t>
  </si>
  <si>
    <t>F20</t>
  </si>
  <si>
    <t>F30</t>
  </si>
  <si>
    <t>F41</t>
  </si>
  <si>
    <t>F50</t>
  </si>
  <si>
    <t>F60</t>
  </si>
  <si>
    <t>F70</t>
  </si>
  <si>
    <t>F80/F81</t>
  </si>
  <si>
    <t>F89/90/91/92/98</t>
  </si>
  <si>
    <t>F99</t>
  </si>
  <si>
    <t>26201NC</t>
  </si>
  <si>
    <t>26202NC</t>
  </si>
  <si>
    <t>26205NC</t>
  </si>
  <si>
    <t>AC sum (REST2=A-1400)</t>
  </si>
  <si>
    <t>reclass</t>
  </si>
  <si>
    <t>reclassement de la reprise de perte de valeur des titres Fovarosi cédés fin juin 2012</t>
  </si>
  <si>
    <t>Check</t>
  </si>
  <si>
    <t>Variation</t>
  </si>
  <si>
    <t>11410G</t>
  </si>
  <si>
    <t>11410M</t>
  </si>
  <si>
    <t>N/S</t>
  </si>
  <si>
    <t>INITIAL</t>
  </si>
  <si>
    <t>plug pour "dégonfler" des acquisitions internes (acquisition entre filiales du Groupe)</t>
  </si>
  <si>
    <t>Cessions en VNC</t>
  </si>
  <si>
    <t>plug pour "matcher" avec les OCI du tableaux des KP</t>
  </si>
  <si>
    <t>Vérif</t>
  </si>
  <si>
    <r>
      <rPr>
        <b/>
        <u/>
        <sz val="8"/>
        <color indexed="49"/>
        <rFont val="Arial"/>
        <family val="2"/>
      </rPr>
      <t xml:space="preserve">Acquisition : </t>
    </r>
    <r>
      <rPr>
        <b/>
        <sz val="8"/>
        <color indexed="49"/>
        <rFont val="Arial"/>
        <family val="2"/>
      </rPr>
      <t>10,3M€ titres Acea chez S1000</t>
    </r>
  </si>
  <si>
    <r>
      <rPr>
        <b/>
        <u/>
        <sz val="8"/>
        <color indexed="49"/>
        <rFont val="Arial"/>
        <family val="2"/>
      </rPr>
      <t xml:space="preserve">Cessions: </t>
    </r>
    <r>
      <rPr>
        <b/>
        <sz val="8"/>
        <color indexed="49"/>
        <rFont val="Arial"/>
        <family val="2"/>
      </rPr>
      <t>Fovarosi 37M€ en valeur brute</t>
    </r>
  </si>
  <si>
    <r>
      <rPr>
        <b/>
        <u/>
        <sz val="8"/>
        <color indexed="49"/>
        <rFont val="Arial"/>
        <family val="2"/>
      </rPr>
      <t xml:space="preserve">Variation de juste valeur : </t>
    </r>
    <r>
      <rPr>
        <b/>
        <sz val="8"/>
        <color indexed="49"/>
        <rFont val="Arial"/>
        <family val="2"/>
      </rPr>
      <t>54,2M€ Acea et reprise de 2M€ de la JV de ABAB et 0,9M€ de la JV des titres Fovarosi</t>
    </r>
  </si>
  <si>
    <r>
      <t xml:space="preserve">Variation de JV en résultat : </t>
    </r>
    <r>
      <rPr>
        <sz val="8"/>
        <color indexed="49"/>
        <rFont val="Arial"/>
        <family val="2"/>
      </rPr>
      <t>A</t>
    </r>
    <r>
      <rPr>
        <b/>
        <sz val="8"/>
        <color indexed="49"/>
        <rFont val="Arial"/>
        <family val="2"/>
      </rPr>
      <t>cea pour 57,9M€</t>
    </r>
  </si>
  <si>
    <t xml:space="preserve"> =&gt; doit correspondre au TFT</t>
  </si>
  <si>
    <t>OK</t>
  </si>
  <si>
    <t>arrondi</t>
  </si>
  <si>
    <t xml:space="preserve"> =&gt; doit correspondre aux variations des OCI AFS</t>
  </si>
  <si>
    <t xml:space="preserve"> =&gt; doit être cohérent au tableau note 5 (passage ROC/RAO)</t>
  </si>
  <si>
    <t>DP=2012.12</t>
  </si>
  <si>
    <t>PE=2012.12</t>
  </si>
  <si>
    <t xml:space="preserve">    Instruments financiers dérivés relatifs aux matières premières</t>
  </si>
  <si>
    <t>NOTE 7 - Instruments financiers</t>
  </si>
  <si>
    <t>7.5.1.Actifs financiers</t>
  </si>
  <si>
    <t>7.5.2.Passifs financiers</t>
  </si>
  <si>
    <t>30 juin 2013</t>
  </si>
  <si>
    <t>AU 30 JUIN 2013</t>
  </si>
  <si>
    <t>AU 31 DECEMBRE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</si>
</sst>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2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&quot;$&quot;#,##0_);[Red]\(&quot;$&quot;#,##0\)"/>
    <numFmt numFmtId="167" formatCode="&quot;$&quot;#,##0.00_);[Red]\(&quot;$&quot;#,##0.00\)"/>
    <numFmt numFmtId="168" formatCode="_(&quot;$&quot;* #,##0_);_(&quot;$&quot;* \(#,##0\);_(&quot;$&quot;* &quot;-&quot;_);_(@_)"/>
    <numFmt numFmtId="169" formatCode="#,##0\ &quot;F&quot;;\-#,##0\ &quot;F&quot;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,"/>
    <numFmt numFmtId="173" formatCode="#,##0.0"/>
    <numFmt numFmtId="174" formatCode="_-* #,##0\ _F_-;\-* #,##0\ _F_-;_-* &quot;-&quot;??\ _F_-;_-@_-"/>
    <numFmt numFmtId="175" formatCode="#,##0.000,"/>
    <numFmt numFmtId="176" formatCode="#,##0.0000,"/>
    <numFmt numFmtId="177" formatCode="#\ ###\ ##0"/>
    <numFmt numFmtId="178" formatCode="00"/>
    <numFmt numFmtId="179" formatCode="#,##0.000"/>
    <numFmt numFmtId="180" formatCode="0.0"/>
    <numFmt numFmtId="181" formatCode="_-* #,##0.0\ _€_-;\-* #,##0.0\ _€_-;_-* &quot;-&quot;??\ _€_-;_-@_-"/>
    <numFmt numFmtId="182" formatCode="_-* #,##0\ _€_-;\-* #,##0\ _€_-;_-* &quot;-&quot;??\ _€_-;_-@_-"/>
    <numFmt numFmtId="183" formatCode="_-* #,##0.0\ _€_-;\-* #,##0.0\ _€_-;_-* &quot;-&quot;?\ _€_-;_-@_-"/>
    <numFmt numFmtId="184" formatCode="#,##0.0&quot;  &quot;;\(#,##0.0\)&quot;  &quot;;&quot;-&quot;"/>
    <numFmt numFmtId="185" formatCode="#\ ##0,;\(#\ ##0,\)"/>
    <numFmt numFmtId="186" formatCode="#,##0.0_);\(#,##0.0\);\-_)"/>
    <numFmt numFmtId="187" formatCode="#,##0.0_);\(#,##0.0\)"/>
    <numFmt numFmtId="188" formatCode="#\ ##0.0_);\(#\ ##0.0\);\-_)"/>
    <numFmt numFmtId="189" formatCode="#,##0_ ;\-#,##0\ "/>
    <numFmt numFmtId="190" formatCode="\+\ #,##0_ ;\-\ #,##0\ "/>
    <numFmt numFmtId="191" formatCode="#,##0.00_ ;\-#,##0.00\ "/>
    <numFmt numFmtId="192" formatCode="#,##0.0_ ;\-#,##0.0\ "/>
    <numFmt numFmtId="193" formatCode="\+\ #,##0.0_ ;\-\ #,##0.0\ "/>
    <numFmt numFmtId="194" formatCode="_ * #,##0_ ;_ * \-#,##0_ ;_ * &quot;-&quot;_ ;_ @_ "/>
    <numFmt numFmtId="195" formatCode="0.000000"/>
    <numFmt numFmtId="196" formatCode="&quot;£&quot;_(#,##0.00_);&quot;£&quot;\(#,##0.00\)"/>
    <numFmt numFmtId="197" formatCode="&quot;$&quot;_(#,##0.00_);&quot;$&quot;\(#,##0.00\)"/>
    <numFmt numFmtId="198" formatCode="#,##0.0_)\x;\(#,##0.0\)\x"/>
    <numFmt numFmtId="199" formatCode="#,##0.0_)_x;\(#,##0.0\)_x"/>
    <numFmt numFmtId="200" formatCode="0.0_)\%;\(0.0\)\%"/>
    <numFmt numFmtId="201" formatCode="#,##0.0_)_%;\(#,##0.0\)_%"/>
    <numFmt numFmtId="202" formatCode="\£\ #,##0_);[Red]\(\£\ #,##0\)"/>
    <numFmt numFmtId="203" formatCode="\¥\ #,##0_);[Red]\(\¥\ #,##0\)"/>
    <numFmt numFmtId="204" formatCode="#,##0&quot; €&quot;"/>
    <numFmt numFmtId="205" formatCode="0.0%;\-0%"/>
    <numFmt numFmtId="206" formatCode="0.000"/>
    <numFmt numFmtId="207" formatCode="0.00&quot;x&quot;"/>
    <numFmt numFmtId="208" formatCode="0.0&quot;x&quot;"/>
    <numFmt numFmtId="209" formatCode="0&quot;A&quot;"/>
    <numFmt numFmtId="210" formatCode="0&quot;E&quot;"/>
    <numFmt numFmtId="211" formatCode="0&quot;F&quot;"/>
    <numFmt numFmtId="212" formatCode="#,##0.0;\(#,##0.0\);\-"/>
    <numFmt numFmtId="213" formatCode="#,##0.0;[Red]\(#,##0.0\)"/>
    <numFmt numFmtId="214" formatCode="\•\ \ @"/>
    <numFmt numFmtId="215" formatCode="0.0000"/>
    <numFmt numFmtId="216" formatCode="0.000_)"/>
    <numFmt numFmtId="217" formatCode="_(&quot;Rp.&quot;* #,##0_);_(&quot;Rp.&quot;* \(#,##0\);_(&quot;Rp.&quot;* &quot;-&quot;_);_(@_)"/>
    <numFmt numFmtId="218" formatCode="00000"/>
    <numFmt numFmtId="219" formatCode="\ \ _•\–\ \ \ \ @"/>
    <numFmt numFmtId="220" formatCode="dd\ mmm\ yyyy_);&quot;Error &lt;0  &quot;;dd\ mmm\ yyyy_);&quot;  &quot;@"/>
    <numFmt numFmtId="221" formatCode="mmm\ yyyy_);&quot;Error &lt;0  &quot;;dd\ mmm\ yyyy_);&quot;  &quot;@"/>
    <numFmt numFmtId="222" formatCode="_(* #,##0_);_(* \(#,##0\);_(* &quot;&quot;_);_(@_)"/>
    <numFmt numFmtId="223" formatCode="0.0&quot; EUR/(MWh/j)/an&quot;"/>
    <numFmt numFmtId="224" formatCode="#,##0&quot; EUR/an&quot;"/>
    <numFmt numFmtId="225" formatCode="0.000&quot; EUR/MWh&quot;"/>
    <numFmt numFmtId="226" formatCode="_-* #,##0.00\ [$€-1]_-;\-* #,##0.00\ [$€-1]_-;_-* &quot;-&quot;??\ [$€-1]_-"/>
    <numFmt numFmtId="227" formatCode="_(* #,##0_);_(* \(#,##0\);_(* &quot;-&quot;??_);_(@_)"/>
    <numFmt numFmtId="228" formatCode="&quot;Rp.&quot;#,##0.00_);\(&quot;Rp.&quot;#,##0.00\)"/>
    <numFmt numFmtId="229" formatCode="mmm\-yyyy"/>
    <numFmt numFmtId="230" formatCode="#,##0;[Red]\(#,##0\)"/>
    <numFmt numFmtId="231" formatCode="#,##0&quot; M€&quot;"/>
    <numFmt numFmtId="232" formatCode="_-#,##0.0&quot; max&quot;"/>
    <numFmt numFmtId="233" formatCode="#,##0;[Red]&quot;-&quot;#,##0"/>
    <numFmt numFmtId="234" formatCode="&quot;N$&quot;#,##0_);[Red]\(&quot;N$&quot;#,##0\)"/>
    <numFmt numFmtId="235" formatCode="#,##0.000\ _F"/>
    <numFmt numFmtId="236" formatCode="#,##0\ _€"/>
    <numFmt numFmtId="237" formatCode="#,##0.0,,"/>
    <numFmt numFmtId="238" formatCode="_-#,##0.00&quot; min&quot;"/>
    <numFmt numFmtId="239" formatCode="mm/yyyy"/>
    <numFmt numFmtId="240" formatCode="#,##0%_);\(#,##0%\)"/>
    <numFmt numFmtId="241" formatCode="0.00&quot; x&quot;"/>
    <numFmt numFmtId="242" formatCode="0&quot; x&quot;"/>
    <numFmt numFmtId="243" formatCode="_(&quot;R$ &quot;* #,##0_);_(&quot;R$ &quot;* \(#,##0\);_(&quot;R$ &quot;* &quot;-&quot;_);_(@_)"/>
    <numFmt numFmtId="244" formatCode="_(&quot;R$ &quot;* #,##0.00_);_(&quot;R$ &quot;* \(#,##0.00\);_(&quot;R$ &quot;* &quot;-&quot;??_);_(@_)"/>
    <numFmt numFmtId="245" formatCode="_-#,##0&quot; months&quot;"/>
    <numFmt numFmtId="246" formatCode="0.0&quot; x&quot;\ "/>
    <numFmt numFmtId="247" formatCode="_-#,##0&quot;MW&quot;"/>
    <numFmt numFmtId="248" formatCode="dd/mm"/>
    <numFmt numFmtId="249" formatCode="#,##0_);[Red]\(#,##0\);&quot;-&quot;"/>
    <numFmt numFmtId="250" formatCode="#,##0.0\%_);\(#,##0.0\%\);#,##0.0\%_);@_)"/>
    <numFmt numFmtId="251" formatCode="#,##0_);\(#,##0\);0_)"/>
    <numFmt numFmtId="252" formatCode="_-* #,##0_-;\-* #,##0_-;_-* &quot;-&quot;_-;_-@_-"/>
    <numFmt numFmtId="253" formatCode="_-* #,##0.00_-;\-* #,##0.00_-;_-* &quot;-&quot;??_-;_-@_-"/>
    <numFmt numFmtId="254" formatCode="_-* #,##0.00_-;[Red]\(#,##0.00\);_-* &quot;-&quot;??_-;_-@_-"/>
    <numFmt numFmtId="255" formatCode="\+0%;\-0%"/>
    <numFmt numFmtId="256" formatCode="#,##0.00;[Red]\(#,##0.00\)"/>
    <numFmt numFmtId="257" formatCode="_(#,##0_);_(\(#,##0\);_(\ &quot;&quot;_);_(@_)"/>
    <numFmt numFmtId="258" formatCode="_(#,##0_);_(\(#,##0\);_(&quot;&quot;_);_(@_)"/>
    <numFmt numFmtId="259" formatCode="&quot;$ &quot;#,##0&quot; mn&quot;"/>
    <numFmt numFmtId="260" formatCode="General_)"/>
    <numFmt numFmtId="261" formatCode="_-#,##0&quot; years&quot;"/>
    <numFmt numFmtId="262" formatCode="&quot;\&quot;#,##0.00;[Red]&quot;\&quot;\-#,##0.00"/>
    <numFmt numFmtId="263" formatCode="&quot;\&quot;#,##0;[Red]&quot;\&quot;\-#,##0"/>
    <numFmt numFmtId="264" formatCode="#\ ##0.0_];\(#\ ##0.0\);\-"/>
    <numFmt numFmtId="265" formatCode="d\ mmmm\ yyyy"/>
  </numFmts>
  <fonts count="197">
    <font>
      <sz val="10"/>
      <name val="Arial"/>
    </font>
    <font>
      <sz val="10"/>
      <name val="Arial"/>
    </font>
    <font>
      <b/>
      <sz val="8.5"/>
      <name val="Arial"/>
      <family val="2"/>
    </font>
    <font>
      <sz val="8.5"/>
      <name val="Arial"/>
      <family val="2"/>
    </font>
    <font>
      <b/>
      <sz val="8.5"/>
      <color indexed="8"/>
      <name val="Arial"/>
      <family val="2"/>
    </font>
    <font>
      <i/>
      <sz val="8.5"/>
      <color indexed="8"/>
      <name val="Arial"/>
      <family val="2"/>
    </font>
    <font>
      <sz val="8.5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8.5"/>
      <color indexed="10"/>
      <name val="Arial"/>
      <family val="2"/>
    </font>
    <font>
      <sz val="8.5"/>
      <color indexed="10"/>
      <name val="Arial"/>
      <family val="2"/>
    </font>
    <font>
      <sz val="10"/>
      <color indexed="10"/>
      <name val="Arial"/>
      <family val="2"/>
    </font>
    <font>
      <sz val="10"/>
      <name val="TradeGothic"/>
      <family val="2"/>
    </font>
    <font>
      <b/>
      <sz val="10"/>
      <name val="Arial"/>
      <family val="2"/>
    </font>
    <font>
      <b/>
      <sz val="10"/>
      <color indexed="14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u/>
      <sz val="10"/>
      <color indexed="12"/>
      <name val="Arial"/>
      <family val="2"/>
    </font>
    <font>
      <b/>
      <sz val="9"/>
      <color indexed="55"/>
      <name val="Arial"/>
      <family val="2"/>
    </font>
    <font>
      <sz val="9"/>
      <color indexed="55"/>
      <name val="Arial"/>
      <family val="2"/>
    </font>
    <font>
      <i/>
      <sz val="9"/>
      <color indexed="55"/>
      <name val="Arial"/>
      <family val="2"/>
    </font>
    <font>
      <i/>
      <sz val="9"/>
      <name val="Arial"/>
      <family val="2"/>
    </font>
    <font>
      <i/>
      <sz val="8"/>
      <color indexed="10"/>
      <name val="Arial"/>
      <family val="2"/>
    </font>
    <font>
      <i/>
      <sz val="9"/>
      <color indexed="10"/>
      <name val="Arial"/>
      <family val="2"/>
    </font>
    <font>
      <sz val="10"/>
      <name val="TradeGothic"/>
      <family val="2"/>
    </font>
    <font>
      <sz val="10"/>
      <name val="Verdana"/>
      <family val="2"/>
    </font>
    <font>
      <sz val="10"/>
      <color indexed="22"/>
      <name val="Arial"/>
      <family val="2"/>
    </font>
    <font>
      <sz val="8"/>
      <name val="Arial"/>
      <family val="2"/>
    </font>
    <font>
      <b/>
      <sz val="10"/>
      <name val="TradeGothic"/>
      <family val="2"/>
    </font>
    <font>
      <sz val="8"/>
      <color indexed="17"/>
      <name val="Arial"/>
      <family val="2"/>
    </font>
    <font>
      <sz val="10"/>
      <color indexed="22"/>
      <name val="TradeGothic"/>
      <family val="2"/>
    </font>
    <font>
      <sz val="10"/>
      <color indexed="22"/>
      <name val="Arial"/>
      <family val="2"/>
    </font>
    <font>
      <b/>
      <sz val="8.5"/>
      <color indexed="22"/>
      <name val="Arial"/>
      <family val="2"/>
    </font>
    <font>
      <sz val="8.5"/>
      <color indexed="2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17"/>
      <name val="Arial"/>
      <family val="2"/>
    </font>
    <font>
      <sz val="9"/>
      <color indexed="17"/>
      <name val="Arial"/>
      <family val="2"/>
    </font>
    <font>
      <sz val="10"/>
      <color indexed="10"/>
      <name val="TradeGothic"/>
      <family val="2"/>
    </font>
    <font>
      <sz val="10"/>
      <color indexed="17"/>
      <name val="Arial"/>
      <family val="2"/>
    </font>
    <font>
      <sz val="10"/>
      <color indexed="17"/>
      <name val="TradeGothic"/>
      <family val="2"/>
    </font>
    <font>
      <b/>
      <sz val="10"/>
      <color indexed="17"/>
      <name val="Arial"/>
      <family val="2"/>
    </font>
    <font>
      <b/>
      <sz val="10"/>
      <color indexed="17"/>
      <name val="TradeGothic"/>
      <family val="2"/>
    </font>
    <font>
      <sz val="10"/>
      <color indexed="12"/>
      <name val="Arial"/>
      <family val="2"/>
    </font>
    <font>
      <sz val="10"/>
      <color indexed="12"/>
      <name val="TradeGothic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indexed="45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2"/>
      <name val="TradeGothic"/>
      <family val="2"/>
    </font>
    <font>
      <i/>
      <sz val="8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55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u/>
      <sz val="10"/>
      <name val="Arial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sz val="8"/>
      <name val="Calibri"/>
      <family val="2"/>
    </font>
    <font>
      <sz val="9"/>
      <color indexed="63"/>
      <name val="Calibri"/>
      <family val="2"/>
    </font>
    <font>
      <b/>
      <sz val="8"/>
      <color indexed="9"/>
      <name val="Calibri"/>
      <family val="2"/>
    </font>
    <font>
      <b/>
      <sz val="8"/>
      <name val="Calibri"/>
      <family val="2"/>
    </font>
    <font>
      <b/>
      <sz val="8"/>
      <color indexed="10"/>
      <name val="Calibri"/>
      <family val="2"/>
    </font>
    <font>
      <b/>
      <i/>
      <sz val="8"/>
      <color indexed="10"/>
      <name val="Calibri"/>
      <family val="2"/>
    </font>
    <font>
      <b/>
      <i/>
      <sz val="8"/>
      <color indexed="10"/>
      <name val="Arial"/>
      <family val="2"/>
    </font>
    <font>
      <sz val="9"/>
      <color indexed="63"/>
      <name val="Arial"/>
      <family val="2"/>
    </font>
    <font>
      <sz val="8"/>
      <color indexed="10"/>
      <name val="Calibri"/>
      <family val="2"/>
    </font>
    <font>
      <sz val="10"/>
      <color indexed="9"/>
      <name val="Arial"/>
      <family val="2"/>
    </font>
    <font>
      <sz val="8"/>
      <color indexed="63"/>
      <name val="Arial"/>
      <family val="2"/>
    </font>
    <font>
      <sz val="8"/>
      <color indexed="10"/>
      <name val="Arial"/>
      <family val="2"/>
    </font>
    <font>
      <b/>
      <sz val="8"/>
      <color indexed="63"/>
      <name val="Arial"/>
      <family val="2"/>
    </font>
    <font>
      <b/>
      <sz val="8"/>
      <color indexed="10"/>
      <name val="Arial"/>
      <family val="2"/>
    </font>
    <font>
      <sz val="2"/>
      <color indexed="63"/>
      <name val="Arial"/>
      <family val="2"/>
    </font>
    <font>
      <sz val="2"/>
      <color indexed="10"/>
      <name val="Arial"/>
      <family val="2"/>
    </font>
    <font>
      <b/>
      <sz val="2"/>
      <color indexed="63"/>
      <name val="Arial"/>
      <family val="2"/>
    </font>
    <font>
      <b/>
      <sz val="2"/>
      <color indexed="10"/>
      <name val="Arial"/>
      <family val="2"/>
    </font>
    <font>
      <sz val="10"/>
      <color indexed="63"/>
      <name val="Arial"/>
      <family val="2"/>
    </font>
    <font>
      <sz val="11"/>
      <color indexed="17"/>
      <name val="Arial"/>
      <family val="2"/>
    </font>
    <font>
      <b/>
      <i/>
      <sz val="6"/>
      <name val="Calibri"/>
      <family val="2"/>
    </font>
    <font>
      <sz val="9"/>
      <color indexed="10"/>
      <name val="Calibri"/>
      <family val="2"/>
    </font>
    <font>
      <b/>
      <sz val="8"/>
      <color indexed="49"/>
      <name val="Arial"/>
      <family val="2"/>
    </font>
    <font>
      <b/>
      <u/>
      <sz val="8"/>
      <color indexed="49"/>
      <name val="Arial"/>
      <family val="2"/>
    </font>
    <font>
      <sz val="8"/>
      <color indexed="49"/>
      <name val="Arial"/>
      <family val="2"/>
    </font>
    <font>
      <sz val="10"/>
      <color indexed="8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b/>
      <sz val="10"/>
      <color indexed="18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0"/>
      <name val="Univers"/>
      <family val="2"/>
    </font>
    <font>
      <sz val="7"/>
      <name val="Univers"/>
      <family val="2"/>
    </font>
    <font>
      <b/>
      <sz val="6"/>
      <name val="Univers"/>
      <family val="2"/>
    </font>
    <font>
      <sz val="11"/>
      <color indexed="11"/>
      <name val="Calibri"/>
      <family val="2"/>
    </font>
    <font>
      <sz val="10"/>
      <color indexed="25"/>
      <name val="Arial"/>
      <family val="2"/>
    </font>
    <font>
      <sz val="10"/>
      <color indexed="13"/>
      <name val="Arial"/>
      <family val="2"/>
    </font>
    <font>
      <sz val="8"/>
      <name val="MS Sans Serif"/>
      <family val="2"/>
    </font>
    <font>
      <sz val="10"/>
      <name val="Courier"/>
      <family val="3"/>
    </font>
    <font>
      <sz val="11"/>
      <name val="Times New Roman"/>
      <family val="1"/>
    </font>
    <font>
      <sz val="12"/>
      <name val="¹UAAA¼"/>
      <family val="3"/>
      <charset val="129"/>
    </font>
    <font>
      <sz val="12"/>
      <name val="Times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LucidaSans"/>
    </font>
    <font>
      <b/>
      <sz val="11"/>
      <color indexed="17"/>
      <name val="Calibri"/>
      <family val="2"/>
    </font>
    <font>
      <b/>
      <sz val="10"/>
      <color indexed="22"/>
      <name val="Arial"/>
      <family val="2"/>
    </font>
    <font>
      <sz val="9"/>
      <name val="Times New Roman"/>
      <family val="1"/>
    </font>
    <font>
      <b/>
      <sz val="10"/>
      <color indexed="13"/>
      <name val="Arial"/>
      <family val="2"/>
    </font>
    <font>
      <sz val="11"/>
      <name val="Times"/>
      <family val="1"/>
    </font>
    <font>
      <sz val="10"/>
      <color indexed="22"/>
      <name val="Times New Roman"/>
      <family val="1"/>
    </font>
    <font>
      <sz val="11"/>
      <name val="Book Antiqua"/>
      <family val="1"/>
    </font>
    <font>
      <sz val="11"/>
      <color indexed="12"/>
      <name val="Book Antiqua"/>
      <family val="1"/>
    </font>
    <font>
      <sz val="10"/>
      <color indexed="20"/>
      <name val="Arial"/>
      <family val="2"/>
    </font>
    <font>
      <i/>
      <sz val="11"/>
      <color indexed="23"/>
      <name val="Calibri"/>
      <family val="2"/>
    </font>
    <font>
      <i/>
      <sz val="10"/>
      <color indexed="38"/>
      <name val="Arial"/>
      <family val="2"/>
    </font>
    <font>
      <sz val="10"/>
      <color indexed="31"/>
      <name val="Arial"/>
      <family val="2"/>
    </font>
    <font>
      <b/>
      <sz val="13"/>
      <color indexed="9"/>
      <name val="Arial"/>
      <family val="2"/>
    </font>
    <font>
      <b/>
      <sz val="15"/>
      <color indexed="56"/>
      <name val="Calibri"/>
      <family val="2"/>
    </font>
    <font>
      <b/>
      <sz val="15"/>
      <color indexed="46"/>
      <name val="Arial"/>
      <family val="2"/>
    </font>
    <font>
      <b/>
      <sz val="13"/>
      <color indexed="56"/>
      <name val="Calibri"/>
      <family val="2"/>
    </font>
    <font>
      <b/>
      <sz val="13"/>
      <color indexed="46"/>
      <name val="Arial"/>
      <family val="2"/>
    </font>
    <font>
      <b/>
      <sz val="11"/>
      <color indexed="56"/>
      <name val="Calibri"/>
      <family val="2"/>
    </font>
    <font>
      <b/>
      <sz val="11"/>
      <color indexed="46"/>
      <name val="Arial"/>
      <family val="2"/>
    </font>
    <font>
      <u/>
      <sz val="10"/>
      <color indexed="14"/>
      <name val="MS Sans Serif"/>
      <family val="2"/>
    </font>
    <font>
      <sz val="10"/>
      <color indexed="38"/>
      <name val="Arial"/>
      <family val="2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u/>
      <sz val="9"/>
      <color indexed="36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sz val="11"/>
      <color indexed="8"/>
      <name val="Arial"/>
      <family val="2"/>
    </font>
    <font>
      <sz val="10"/>
      <name val="Book Antiqua"/>
      <family val="1"/>
    </font>
    <font>
      <b/>
      <sz val="14"/>
      <color indexed="24"/>
      <name val="Book Antiqua"/>
      <family val="1"/>
    </font>
    <font>
      <sz val="7"/>
      <name val="Small Fonts"/>
      <family val="2"/>
    </font>
    <font>
      <sz val="9"/>
      <color indexed="25"/>
      <name val="Arial"/>
      <family val="2"/>
    </font>
    <font>
      <sz val="11"/>
      <color indexed="63"/>
      <name val="Calibri"/>
      <family val="2"/>
    </font>
    <font>
      <sz val="11"/>
      <color indexed="25"/>
      <name val="Calibri"/>
      <family val="2"/>
    </font>
    <font>
      <sz val="10"/>
      <name val="Arial CE"/>
      <charset val="238"/>
    </font>
    <font>
      <i/>
      <sz val="10"/>
      <name val="Helv"/>
    </font>
    <font>
      <b/>
      <sz val="10"/>
      <color indexed="39"/>
      <name val="Arial"/>
      <family val="2"/>
    </font>
    <font>
      <sz val="9"/>
      <color indexed="8"/>
      <name val="News Gothic MT"/>
      <family val="2"/>
    </font>
    <font>
      <b/>
      <sz val="10"/>
      <color indexed="9"/>
      <name val="News Gothic MT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b/>
      <sz val="10"/>
      <name val="MS Sans Serif"/>
      <family val="2"/>
    </font>
    <font>
      <sz val="10"/>
      <name val="NewtonCTT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6"/>
      <name val="Times New Roman"/>
      <family val="1"/>
    </font>
    <font>
      <sz val="7"/>
      <name val="Times New Roman"/>
      <family val="1"/>
    </font>
    <font>
      <b/>
      <sz val="11"/>
      <name val="Times New Roman"/>
      <family val="1"/>
    </font>
    <font>
      <b/>
      <sz val="18"/>
      <color indexed="46"/>
      <name val="Cambria"/>
      <family val="2"/>
    </font>
    <font>
      <b/>
      <u/>
      <sz val="18"/>
      <color indexed="9"/>
      <name val="Arial Narrow"/>
      <family val="2"/>
    </font>
    <font>
      <b/>
      <sz val="18"/>
      <color indexed="56"/>
      <name val="Cambria"/>
      <family val="2"/>
    </font>
    <font>
      <sz val="12"/>
      <name val="Tms Rmn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i/>
      <sz val="11"/>
      <color indexed="8"/>
      <name val="Arial"/>
      <family val="2"/>
    </font>
    <font>
      <sz val="10"/>
      <color indexed="54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9"/>
      <color indexed="62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</fonts>
  <fills count="8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16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0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41"/>
      </patternFill>
    </fill>
    <fill>
      <patternFill patternType="solid">
        <fgColor indexed="8"/>
      </patternFill>
    </fill>
    <fill>
      <patternFill patternType="solid">
        <fgColor indexed="36"/>
      </patternFill>
    </fill>
    <fill>
      <patternFill patternType="solid">
        <fgColor indexed="1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7"/>
      </patternFill>
    </fill>
    <fill>
      <patternFill patternType="solid">
        <fgColor indexed="40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3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lightTrellis">
        <fgColor indexed="9"/>
        <bgColor indexed="9"/>
      </patternFill>
    </fill>
    <fill>
      <patternFill patternType="gray0625"/>
    </fill>
    <fill>
      <patternFill patternType="solid">
        <fgColor indexed="28"/>
      </patternFill>
    </fill>
    <fill>
      <patternFill patternType="solid">
        <fgColor indexed="2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9FFBD"/>
        <bgColor indexed="64"/>
      </patternFill>
    </fill>
    <fill>
      <patternFill patternType="solid">
        <fgColor theme="0" tint="-0.34998626667073579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5"/>
      </bottom>
      <diagonal/>
    </border>
    <border>
      <left/>
      <right/>
      <top/>
      <bottom style="medium">
        <color indexed="1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indexed="3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/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39"/>
      </left>
      <right style="double">
        <color indexed="39"/>
      </right>
      <top style="double">
        <color indexed="39"/>
      </top>
      <bottom style="double">
        <color indexed="39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1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18"/>
      </top>
      <bottom/>
      <diagonal/>
    </border>
    <border>
      <left style="thin">
        <color indexed="37"/>
      </left>
      <right style="thin">
        <color indexed="37"/>
      </right>
      <top style="thin">
        <color indexed="37"/>
      </top>
      <bottom style="thin">
        <color indexed="3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39"/>
      </left>
      <right style="thin">
        <color indexed="39"/>
      </right>
      <top style="thin">
        <color indexed="39"/>
      </top>
      <bottom style="thin">
        <color indexed="39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15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9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 style="thick">
        <color indexed="50"/>
      </top>
      <bottom/>
      <diagonal/>
    </border>
    <border>
      <left/>
      <right/>
      <top/>
      <bottom style="medium">
        <color indexed="50"/>
      </bottom>
      <diagonal/>
    </border>
    <border>
      <left/>
      <right style="medium">
        <color theme="0"/>
      </right>
      <top/>
      <bottom style="thin">
        <color theme="0" tint="-0.34998626667073579"/>
      </bottom>
      <diagonal/>
    </border>
    <border>
      <left style="medium">
        <color theme="0"/>
      </left>
      <right style="medium">
        <color theme="0"/>
      </right>
      <top/>
      <bottom style="thin">
        <color rgb="FF99CC00"/>
      </bottom>
      <diagonal/>
    </border>
    <border>
      <left/>
      <right/>
      <top/>
      <bottom style="medium">
        <color rgb="FF99CC00"/>
      </bottom>
      <diagonal/>
    </border>
    <border>
      <left style="medium">
        <color theme="0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871">
    <xf numFmtId="0" fontId="0" fillId="0" borderId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173" fontId="108" fillId="0" borderId="0" applyFont="0" applyFill="0" applyBorder="0" applyAlignment="0" applyProtection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109" fillId="0" borderId="0" applyFont="0" applyFill="0" applyBorder="0" applyAlignment="0" applyProtection="0"/>
    <xf numFmtId="0" fontId="110" fillId="0" borderId="0" applyFont="0" applyFill="0" applyBorder="0" applyAlignment="0" applyProtection="0"/>
    <xf numFmtId="194" fontId="109" fillId="0" borderId="0" applyFont="0" applyFill="0" applyBorder="0" applyAlignment="0" applyProtection="0"/>
    <xf numFmtId="40" fontId="110" fillId="0" borderId="0" applyFont="0" applyFill="0" applyBorder="0" applyAlignment="0" applyProtection="0"/>
    <xf numFmtId="38" fontId="110" fillId="0" borderId="0" applyFont="0" applyFill="0" applyBorder="0" applyAlignment="0" applyProtection="0"/>
    <xf numFmtId="0" fontId="111" fillId="0" borderId="0"/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187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" fontId="7" fillId="2" borderId="0"/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198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195" fontId="7" fillId="0" borderId="0">
      <alignment horizontal="left" wrapText="1"/>
    </xf>
    <xf numFmtId="195" fontId="7" fillId="0" borderId="0">
      <alignment horizontal="left" wrapText="1"/>
    </xf>
    <xf numFmtId="195" fontId="7" fillId="0" borderId="0">
      <alignment horizontal="left" wrapText="1"/>
    </xf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112" fillId="0" borderId="1" applyNumberFormat="0" applyFill="0" applyProtection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2" fontId="113" fillId="0" borderId="0" applyFont="0" applyFill="0" applyBorder="0" applyAlignment="0" applyProtection="0"/>
    <xf numFmtId="203" fontId="113" fillId="0" borderId="0" applyFont="0" applyFill="0" applyBorder="0" applyAlignment="0" applyProtection="0"/>
    <xf numFmtId="204" fontId="114" fillId="0" borderId="2" applyFont="0" applyFill="0" applyBorder="0" applyAlignment="0" applyProtection="0"/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9" fontId="7" fillId="0" borderId="0" applyFont="0" applyFill="0" applyBorder="0" applyAlignment="0" applyProtection="0">
      <alignment horizontal="center" vertical="center" wrapText="1"/>
    </xf>
    <xf numFmtId="205" fontId="115" fillId="0" borderId="0" applyFont="0" applyFill="0" applyBorder="0" applyAlignment="0" applyProtection="0">
      <alignment horizontal="center"/>
    </xf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6" fontId="35" fillId="0" borderId="0" applyFont="0" applyFill="0" applyBorder="0" applyAlignment="0" applyProtection="0"/>
    <xf numFmtId="207" fontId="116" fillId="0" borderId="0" applyFont="0" applyFill="0" applyBorder="0" applyAlignment="0" applyProtection="0"/>
    <xf numFmtId="208" fontId="117" fillId="0" borderId="0" applyFont="0" applyFill="0" applyBorder="0" applyAlignment="0" applyProtection="0"/>
    <xf numFmtId="209" fontId="118" fillId="3" borderId="3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0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211" fontId="35" fillId="0" borderId="0" applyFont="0" applyFill="0" applyBorder="0" applyAlignment="0" applyProtection="0">
      <alignment horizontal="center"/>
    </xf>
    <xf numFmtId="0" fontId="64" fillId="4" borderId="0" applyNumberFormat="0" applyBorder="0" applyAlignment="0" applyProtection="0"/>
    <xf numFmtId="0" fontId="64" fillId="5" borderId="0" applyNumberFormat="0" applyBorder="0" applyAlignment="0" applyProtection="0"/>
    <xf numFmtId="0" fontId="119" fillId="4" borderId="0" applyNumberFormat="0" applyBorder="0" applyAlignment="0" applyProtection="0"/>
    <xf numFmtId="0" fontId="64" fillId="6" borderId="0" applyNumberFormat="0" applyBorder="0" applyAlignment="0" applyProtection="0"/>
    <xf numFmtId="0" fontId="64" fillId="7" borderId="0" applyNumberFormat="0" applyBorder="0" applyAlignment="0" applyProtection="0"/>
    <xf numFmtId="0" fontId="119" fillId="8" borderId="0" applyNumberFormat="0" applyBorder="0" applyAlignment="0" applyProtection="0"/>
    <xf numFmtId="0" fontId="64" fillId="9" borderId="0" applyNumberFormat="0" applyBorder="0" applyAlignment="0" applyProtection="0"/>
    <xf numFmtId="0" fontId="64" fillId="10" borderId="0" applyNumberFormat="0" applyBorder="0" applyAlignment="0" applyProtection="0"/>
    <xf numFmtId="0" fontId="119" fillId="11" borderId="0" applyNumberFormat="0" applyBorder="0" applyAlignment="0" applyProtection="0"/>
    <xf numFmtId="0" fontId="64" fillId="4" borderId="0" applyNumberFormat="0" applyBorder="0" applyAlignment="0" applyProtection="0"/>
    <xf numFmtId="0" fontId="64" fillId="12" borderId="0" applyNumberFormat="0" applyBorder="0" applyAlignment="0" applyProtection="0"/>
    <xf numFmtId="0" fontId="119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13" borderId="0" applyNumberFormat="0" applyBorder="0" applyAlignment="0" applyProtection="0"/>
    <xf numFmtId="0" fontId="119" fillId="14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119" fillId="1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64" fillId="5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5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7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10" borderId="0" applyNumberFormat="0" applyBorder="0" applyAlignment="0" applyProtection="0"/>
    <xf numFmtId="0" fontId="64" fillId="10" borderId="0" applyNumberFormat="0" applyBorder="0" applyAlignment="0" applyProtection="0"/>
    <xf numFmtId="0" fontId="64" fillId="10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10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64" fillId="12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13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64" fillId="6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64" fillId="4" borderId="0" applyNumberFormat="0" applyBorder="0" applyAlignment="0" applyProtection="0"/>
    <xf numFmtId="0" fontId="64" fillId="21" borderId="0" applyNumberFormat="0" applyBorder="0" applyAlignment="0" applyProtection="0"/>
    <xf numFmtId="0" fontId="119" fillId="14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119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119" fillId="11" borderId="0" applyNumberFormat="0" applyBorder="0" applyAlignment="0" applyProtection="0"/>
    <xf numFmtId="0" fontId="64" fillId="26" borderId="0" applyNumberFormat="0" applyBorder="0" applyAlignment="0" applyProtection="0"/>
    <xf numFmtId="0" fontId="64" fillId="12" borderId="0" applyNumberFormat="0" applyBorder="0" applyAlignment="0" applyProtection="0"/>
    <xf numFmtId="0" fontId="119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21" borderId="0" applyNumberFormat="0" applyBorder="0" applyAlignment="0" applyProtection="0"/>
    <xf numFmtId="0" fontId="119" fillId="14" borderId="0" applyNumberFormat="0" applyBorder="0" applyAlignment="0" applyProtection="0"/>
    <xf numFmtId="0" fontId="64" fillId="6" borderId="0" applyNumberFormat="0" applyBorder="0" applyAlignment="0" applyProtection="0"/>
    <xf numFmtId="0" fontId="64" fillId="27" borderId="0" applyNumberFormat="0" applyBorder="0" applyAlignment="0" applyProtection="0"/>
    <xf numFmtId="0" fontId="119" fillId="15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21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22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25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120" fillId="18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64" fillId="12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120" fillId="19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21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120" fillId="1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64" fillId="27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120" fillId="20" borderId="0" applyNumberFormat="0" applyBorder="0" applyAlignment="0" applyProtection="0"/>
    <xf numFmtId="0" fontId="65" fillId="4" borderId="0" applyNumberFormat="0" applyBorder="0" applyAlignment="0" applyProtection="0"/>
    <xf numFmtId="0" fontId="65" fillId="28" borderId="0" applyNumberFormat="0" applyBorder="0" applyAlignment="0" applyProtection="0"/>
    <xf numFmtId="0" fontId="65" fillId="14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65" fillId="23" borderId="0" applyNumberFormat="0" applyBorder="0" applyAlignment="0" applyProtection="0"/>
    <xf numFmtId="0" fontId="65" fillId="24" borderId="0" applyNumberFormat="0" applyBorder="0" applyAlignment="0" applyProtection="0"/>
    <xf numFmtId="0" fontId="65" fillId="25" borderId="0" applyNumberFormat="0" applyBorder="0" applyAlignment="0" applyProtection="0"/>
    <xf numFmtId="0" fontId="65" fillId="11" borderId="0" applyNumberFormat="0" applyBorder="0" applyAlignment="0" applyProtection="0"/>
    <xf numFmtId="0" fontId="65" fillId="26" borderId="0" applyNumberFormat="0" applyBorder="0" applyAlignment="0" applyProtection="0"/>
    <xf numFmtId="0" fontId="65" fillId="19" borderId="0" applyNumberFormat="0" applyBorder="0" applyAlignment="0" applyProtection="0"/>
    <xf numFmtId="0" fontId="65" fillId="4" borderId="0" applyNumberFormat="0" applyBorder="0" applyAlignment="0" applyProtection="0"/>
    <xf numFmtId="0" fontId="65" fillId="11" borderId="0" applyNumberFormat="0" applyBorder="0" applyAlignment="0" applyProtection="0"/>
    <xf numFmtId="0" fontId="65" fillId="11" borderId="0" applyNumberFormat="0" applyBorder="0" applyAlignment="0" applyProtection="0"/>
    <xf numFmtId="0" fontId="65" fillId="14" borderId="0" applyNumberFormat="0" applyBorder="0" applyAlignment="0" applyProtection="0"/>
    <xf numFmtId="0" fontId="65" fillId="6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65" fillId="28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121" fillId="21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65" fillId="22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65" fillId="25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121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19" borderId="0" applyNumberFormat="0" applyBorder="0" applyAlignment="0" applyProtection="0"/>
    <xf numFmtId="0" fontId="65" fillId="1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65" fillId="1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121" fillId="29" borderId="0" applyNumberFormat="0" applyBorder="0" applyAlignment="0" applyProtection="0"/>
    <xf numFmtId="0" fontId="65" fillId="11" borderId="0" applyNumberFormat="0" applyBorder="0" applyAlignment="0" applyProtection="0"/>
    <xf numFmtId="0" fontId="65" fillId="11" borderId="0" applyNumberFormat="0" applyBorder="0" applyAlignment="0" applyProtection="0"/>
    <xf numFmtId="0" fontId="65" fillId="11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65" fillId="11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121" fillId="17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65" fillId="15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1" fillId="30" borderId="0" applyNumberFormat="0" applyBorder="0" applyAlignment="0" applyProtection="0"/>
    <xf numFmtId="0" fontId="122" fillId="0" borderId="0"/>
    <xf numFmtId="0" fontId="123" fillId="0" borderId="0"/>
    <xf numFmtId="0" fontId="64" fillId="31" borderId="0" applyNumberFormat="0" applyBorder="0" applyAlignment="0" applyProtection="0"/>
    <xf numFmtId="0" fontId="64" fillId="32" borderId="0" applyNumberFormat="0" applyBorder="0" applyAlignment="0" applyProtection="0"/>
    <xf numFmtId="0" fontId="65" fillId="33" borderId="0" applyNumberFormat="0" applyBorder="0" applyAlignment="0" applyProtection="0"/>
    <xf numFmtId="0" fontId="65" fillId="34" borderId="0" applyNumberFormat="0" applyBorder="0" applyAlignment="0" applyProtection="0"/>
    <xf numFmtId="0" fontId="64" fillId="35" borderId="0" applyNumberFormat="0" applyBorder="0" applyAlignment="0" applyProtection="0"/>
    <xf numFmtId="0" fontId="64" fillId="36" borderId="0" applyNumberFormat="0" applyBorder="0" applyAlignment="0" applyProtection="0"/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64" fillId="39" borderId="0" applyNumberFormat="0" applyBorder="0" applyAlignment="0" applyProtection="0"/>
    <xf numFmtId="0" fontId="64" fillId="40" borderId="0" applyNumberFormat="0" applyBorder="0" applyAlignment="0" applyProtection="0"/>
    <xf numFmtId="0" fontId="65" fillId="41" borderId="0" applyNumberFormat="0" applyBorder="0" applyAlignment="0" applyProtection="0"/>
    <xf numFmtId="0" fontId="65" fillId="42" borderId="0" applyNumberFormat="0" applyBorder="0" applyAlignment="0" applyProtection="0"/>
    <xf numFmtId="0" fontId="64" fillId="40" borderId="0" applyNumberFormat="0" applyBorder="0" applyAlignment="0" applyProtection="0"/>
    <xf numFmtId="0" fontId="64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19" borderId="0" applyNumberFormat="0" applyBorder="0" applyAlignment="0" applyProtection="0"/>
    <xf numFmtId="0" fontId="64" fillId="31" borderId="0" applyNumberFormat="0" applyBorder="0" applyAlignment="0" applyProtection="0"/>
    <xf numFmtId="0" fontId="64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11" borderId="0" applyNumberFormat="0" applyBorder="0" applyAlignment="0" applyProtection="0"/>
    <xf numFmtId="0" fontId="64" fillId="45" borderId="0" applyNumberFormat="0" applyBorder="0" applyAlignment="0" applyProtection="0"/>
    <xf numFmtId="0" fontId="64" fillId="36" borderId="0" applyNumberFormat="0" applyBorder="0" applyAlignment="0" applyProtection="0"/>
    <xf numFmtId="0" fontId="65" fillId="46" borderId="0" applyNumberFormat="0" applyBorder="0" applyAlignment="0" applyProtection="0"/>
    <xf numFmtId="0" fontId="65" fillId="44" borderId="0" applyNumberFormat="0" applyBorder="0" applyAlignment="0" applyProtection="0"/>
    <xf numFmtId="212" fontId="124" fillId="0" borderId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66" fillId="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92" fillId="17" borderId="0" applyNumberFormat="0" applyBorder="0" applyAlignment="0" applyProtection="0"/>
    <xf numFmtId="0" fontId="116" fillId="0" borderId="4" applyNumberFormat="0" applyFont="0" applyFill="0" applyAlignment="0"/>
    <xf numFmtId="0" fontId="126" fillId="0" borderId="0" applyNumberFormat="0" applyFill="0" applyBorder="0" applyAlignment="0" applyProtection="0"/>
    <xf numFmtId="0" fontId="127" fillId="0" borderId="5" applyNumberFormat="0" applyFill="0" applyAlignment="0" applyProtection="0"/>
    <xf numFmtId="0" fontId="128" fillId="0" borderId="6" applyNumberFormat="0" applyFont="0" applyFill="0" applyAlignment="0" applyProtection="0"/>
    <xf numFmtId="0" fontId="128" fillId="0" borderId="7" applyNumberFormat="0" applyFont="0" applyFill="0" applyAlignment="0" applyProtection="0"/>
    <xf numFmtId="213" fontId="129" fillId="0" borderId="8" applyBorder="0"/>
    <xf numFmtId="214" fontId="113" fillId="0" borderId="0" applyFont="0" applyFill="0" applyBorder="0" applyAlignment="0" applyProtection="0"/>
    <xf numFmtId="0" fontId="125" fillId="0" borderId="0"/>
    <xf numFmtId="38" fontId="7" fillId="3" borderId="9">
      <alignment horizontal="right"/>
    </xf>
    <xf numFmtId="0" fontId="67" fillId="16" borderId="10" applyNumberFormat="0" applyAlignment="0" applyProtection="0"/>
    <xf numFmtId="0" fontId="67" fillId="26" borderId="10" applyNumberFormat="0" applyAlignment="0" applyProtection="0"/>
    <xf numFmtId="0" fontId="130" fillId="16" borderId="11" applyNumberFormat="0" applyAlignment="0" applyProtection="0"/>
    <xf numFmtId="0" fontId="67" fillId="26" borderId="10" applyNumberFormat="0" applyAlignment="0" applyProtection="0"/>
    <xf numFmtId="0" fontId="67" fillId="26" borderId="10" applyNumberFormat="0" applyAlignment="0" applyProtection="0"/>
    <xf numFmtId="0" fontId="67" fillId="26" borderId="10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67" fillId="26" borderId="10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0" fontId="131" fillId="47" borderId="12" applyNumberFormat="0" applyAlignment="0" applyProtection="0"/>
    <xf numFmtId="40" fontId="132" fillId="2" borderId="2">
      <alignment vertical="center"/>
    </xf>
    <xf numFmtId="0" fontId="132" fillId="2" borderId="2">
      <alignment vertical="center"/>
    </xf>
    <xf numFmtId="0" fontId="132" fillId="2" borderId="2">
      <alignment vertical="center"/>
    </xf>
    <xf numFmtId="0" fontId="132" fillId="2" borderId="2">
      <alignment vertical="center"/>
    </xf>
    <xf numFmtId="0" fontId="132" fillId="2" borderId="2">
      <alignment vertical="center"/>
    </xf>
    <xf numFmtId="0" fontId="132" fillId="2" borderId="2">
      <alignment vertical="center"/>
    </xf>
    <xf numFmtId="0" fontId="75" fillId="0" borderId="13" applyNumberFormat="0" applyFill="0" applyAlignment="0" applyProtection="0"/>
    <xf numFmtId="0" fontId="75" fillId="0" borderId="13" applyNumberFormat="0" applyFill="0" applyAlignment="0" applyProtection="0"/>
    <xf numFmtId="0" fontId="70" fillId="0" borderId="14" applyNumberFormat="0" applyFill="0" applyAlignment="0" applyProtection="0"/>
    <xf numFmtId="215" fontId="113" fillId="0" borderId="15" applyFont="0" applyFill="0" applyBorder="0" applyAlignment="0" applyProtection="0">
      <alignment horizontal="center"/>
      <protection locked="0"/>
    </xf>
    <xf numFmtId="0" fontId="68" fillId="4" borderId="16" applyNumberFormat="0" applyAlignment="0" applyProtection="0"/>
    <xf numFmtId="0" fontId="68" fillId="4" borderId="16" applyNumberFormat="0" applyAlignment="0" applyProtection="0"/>
    <xf numFmtId="0" fontId="68" fillId="4" borderId="16" applyNumberFormat="0" applyAlignment="0" applyProtection="0"/>
    <xf numFmtId="0" fontId="68" fillId="4" borderId="16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68" fillId="4" borderId="16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133" fillId="29" borderId="17" applyNumberFormat="0" applyAlignment="0" applyProtection="0"/>
    <xf numFmtId="0" fontId="56" fillId="48" borderId="18" applyFont="0" applyFill="0" applyBorder="0"/>
    <xf numFmtId="0" fontId="35" fillId="0" borderId="19"/>
    <xf numFmtId="213" fontId="129" fillId="0" borderId="5" applyBorder="0">
      <alignment horizontal="center"/>
    </xf>
    <xf numFmtId="216" fontId="134" fillId="0" borderId="0"/>
    <xf numFmtId="216" fontId="134" fillId="0" borderId="0"/>
    <xf numFmtId="216" fontId="134" fillId="0" borderId="0"/>
    <xf numFmtId="216" fontId="134" fillId="0" borderId="0"/>
    <xf numFmtId="216" fontId="134" fillId="0" borderId="0"/>
    <xf numFmtId="216" fontId="134" fillId="0" borderId="0"/>
    <xf numFmtId="216" fontId="134" fillId="0" borderId="0"/>
    <xf numFmtId="216" fontId="134" fillId="0" borderId="0"/>
    <xf numFmtId="165" fontId="7" fillId="0" borderId="0" applyFont="0" applyFill="0" applyBorder="0" applyAlignment="0" applyProtection="0"/>
    <xf numFmtId="0" fontId="7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64" fillId="9" borderId="20" applyNumberFormat="0" applyFont="0" applyAlignment="0" applyProtection="0"/>
    <xf numFmtId="0" fontId="7" fillId="15" borderId="21" applyNumberFormat="0" applyFont="0" applyAlignment="0" applyProtection="0"/>
    <xf numFmtId="3" fontId="135" fillId="0" borderId="0">
      <alignment horizontal="center"/>
    </xf>
    <xf numFmtId="213" fontId="129" fillId="0" borderId="6">
      <alignment horizontal="left"/>
    </xf>
    <xf numFmtId="0" fontId="113" fillId="0" borderId="0">
      <alignment vertical="center"/>
    </xf>
    <xf numFmtId="0" fontId="113" fillId="0" borderId="0">
      <alignment vertical="center"/>
    </xf>
    <xf numFmtId="217" fontId="7" fillId="0" borderId="0" applyFont="0" applyFill="0" applyBorder="0" applyAlignment="0" applyProtection="0"/>
    <xf numFmtId="218" fontId="136" fillId="0" borderId="0" applyFont="0" applyFill="0" applyBorder="0" applyAlignment="0" applyProtection="0"/>
    <xf numFmtId="167" fontId="137" fillId="0" borderId="22">
      <protection locked="0"/>
    </xf>
    <xf numFmtId="0" fontId="113" fillId="0" borderId="0" applyFill="0" applyBorder="0" applyProtection="0">
      <alignment vertical="center"/>
    </xf>
    <xf numFmtId="0" fontId="113" fillId="0" borderId="0" applyFill="0" applyBorder="0" applyProtection="0">
      <alignment vertical="center"/>
    </xf>
    <xf numFmtId="0" fontId="113" fillId="0" borderId="0" applyFill="0" applyBorder="0" applyProtection="0">
      <alignment vertical="center"/>
    </xf>
    <xf numFmtId="0" fontId="113" fillId="0" borderId="0">
      <alignment vertical="center"/>
    </xf>
    <xf numFmtId="219" fontId="113" fillId="0" borderId="0" applyFont="0" applyFill="0" applyBorder="0" applyAlignment="0" applyProtection="0"/>
    <xf numFmtId="38" fontId="7" fillId="49" borderId="9">
      <protection locked="0"/>
    </xf>
    <xf numFmtId="15" fontId="7" fillId="2" borderId="2">
      <alignment horizontal="center"/>
    </xf>
    <xf numFmtId="17" fontId="7" fillId="2" borderId="2">
      <alignment horizontal="center"/>
    </xf>
    <xf numFmtId="17" fontId="7" fillId="2" borderId="2">
      <alignment horizontal="center"/>
    </xf>
    <xf numFmtId="17" fontId="7" fillId="2" borderId="2">
      <alignment horizontal="center"/>
    </xf>
    <xf numFmtId="17" fontId="7" fillId="2" borderId="2">
      <alignment horizontal="center"/>
    </xf>
    <xf numFmtId="17" fontId="7" fillId="2" borderId="2">
      <alignment horizontal="center"/>
    </xf>
    <xf numFmtId="220" fontId="15" fillId="0" borderId="0" applyFont="0" applyFill="0" applyBorder="0" applyAlignment="0" applyProtection="0">
      <alignment vertical="top"/>
    </xf>
    <xf numFmtId="221" fontId="11" fillId="0" borderId="0" applyFont="0" applyFill="0" applyBorder="0" applyAlignment="0" applyProtection="0"/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2" fontId="7" fillId="50" borderId="0">
      <alignment horizontal="left"/>
      <protection hidden="1"/>
    </xf>
    <xf numFmtId="0" fontId="81" fillId="51" borderId="0" applyNumberFormat="0" applyBorder="0" applyAlignment="0" applyProtection="0"/>
    <xf numFmtId="0" fontId="81" fillId="52" borderId="0" applyNumberFormat="0" applyBorder="0" applyAlignment="0" applyProtection="0"/>
    <xf numFmtId="0" fontId="81" fillId="53" borderId="0" applyNumberFormat="0" applyBorder="0" applyAlignment="0" applyProtection="0"/>
    <xf numFmtId="222" fontId="43" fillId="54" borderId="0">
      <alignment horizontal="left"/>
      <protection hidden="1"/>
    </xf>
    <xf numFmtId="0" fontId="116" fillId="0" borderId="0" applyNumberFormat="0" applyFont="0" applyAlignment="0"/>
    <xf numFmtId="0" fontId="74" fillId="6" borderId="10" applyNumberFormat="0" applyAlignment="0" applyProtection="0"/>
    <xf numFmtId="0" fontId="74" fillId="6" borderId="10" applyNumberFormat="0" applyAlignment="0" applyProtection="0"/>
    <xf numFmtId="0" fontId="64" fillId="15" borderId="11" applyNumberFormat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3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4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5" fontId="7" fillId="3" borderId="0" applyFont="0" applyFill="0" applyBorder="0" applyAlignment="0" applyProtection="0"/>
    <xf numFmtId="226" fontId="12" fillId="0" borderId="0" applyFont="0" applyFill="0" applyBorder="0" applyAlignment="0" applyProtection="0"/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226" fontId="43" fillId="0" borderId="0" applyFont="0" applyFill="0" applyBorder="0" applyAlignment="0" applyProtection="0"/>
    <xf numFmtId="226" fontId="43" fillId="0" borderId="0" applyFont="0" applyFill="0" applyBorder="0" applyAlignment="0" applyProtection="0"/>
    <xf numFmtId="226" fontId="4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226" fontId="43" fillId="0" borderId="0" applyFont="0" applyFill="0" applyBorder="0" applyAlignment="0" applyProtection="0"/>
    <xf numFmtId="226" fontId="12" fillId="0" borderId="0" applyFont="0" applyFill="0" applyBorder="0" applyAlignment="0" applyProtection="0"/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226" fontId="7" fillId="0" borderId="0" applyFont="0" applyFill="0" applyBorder="0" applyAlignment="0" applyProtection="0"/>
    <xf numFmtId="3" fontId="13" fillId="0" borderId="23" applyFill="0" applyBorder="0"/>
    <xf numFmtId="0" fontId="138" fillId="0" borderId="0"/>
    <xf numFmtId="0" fontId="6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39" fontId="82" fillId="0" borderId="0" applyFill="0" applyBorder="0" applyAlignment="0" applyProtection="0"/>
    <xf numFmtId="0" fontId="82" fillId="0" borderId="0" applyFill="0" applyBorder="0" applyAlignment="0" applyProtection="0"/>
    <xf numFmtId="0" fontId="82" fillId="0" borderId="0" applyFill="0" applyBorder="0" applyAlignment="0" applyProtection="0"/>
    <xf numFmtId="0" fontId="82" fillId="0" borderId="0" applyFill="0" applyBorder="0" applyAlignment="0" applyProtection="0"/>
    <xf numFmtId="0" fontId="82" fillId="0" borderId="0" applyFill="0" applyBorder="0" applyAlignment="0" applyProtection="0"/>
    <xf numFmtId="0" fontId="82" fillId="0" borderId="0" applyFill="0" applyBorder="0" applyAlignment="0" applyProtection="0"/>
    <xf numFmtId="213" fontId="129" fillId="0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7" fillId="55" borderId="0"/>
    <xf numFmtId="0" fontId="129" fillId="0" borderId="15" applyNumberFormat="0" applyFill="0" applyBorder="0" applyAlignment="0" applyProtection="0"/>
    <xf numFmtId="227" fontId="136" fillId="0" borderId="0" applyFont="0" applyFill="0" applyBorder="0" applyAlignment="0" applyProtection="0"/>
    <xf numFmtId="228" fontId="7" fillId="0" borderId="0" applyFont="0" applyFill="0" applyBorder="0" applyAlignment="0" applyProtection="0">
      <alignment horizontal="center"/>
    </xf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70" fillId="10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38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116" fillId="0" borderId="24" applyNumberFormat="0" applyFont="0" applyFill="0" applyAlignment="0">
      <alignment horizontal="center" vertical="center"/>
    </xf>
    <xf numFmtId="229" fontId="142" fillId="58" borderId="25">
      <alignment horizontal="right" vertical="top"/>
      <protection hidden="1"/>
    </xf>
    <xf numFmtId="0" fontId="42" fillId="0" borderId="26">
      <alignment horizontal="left" vertical="center"/>
    </xf>
    <xf numFmtId="0" fontId="71" fillId="0" borderId="27" applyNumberFormat="0" applyFill="0" applyAlignment="0" applyProtection="0"/>
    <xf numFmtId="0" fontId="143" fillId="0" borderId="28" applyNumberFormat="0" applyFill="0" applyAlignment="0" applyProtection="0"/>
    <xf numFmtId="0" fontId="143" fillId="0" borderId="28" applyNumberFormat="0" applyFill="0" applyAlignment="0" applyProtection="0"/>
    <xf numFmtId="0" fontId="143" fillId="0" borderId="28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3" fillId="0" borderId="28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144" fillId="0" borderId="29" applyNumberFormat="0" applyFill="0" applyAlignment="0" applyProtection="0"/>
    <xf numFmtId="0" fontId="72" fillId="0" borderId="30" applyNumberFormat="0" applyFill="0" applyAlignment="0" applyProtection="0"/>
    <xf numFmtId="0" fontId="145" fillId="0" borderId="30" applyNumberFormat="0" applyFill="0" applyAlignment="0" applyProtection="0"/>
    <xf numFmtId="0" fontId="145" fillId="0" borderId="30" applyNumberFormat="0" applyFill="0" applyAlignment="0" applyProtection="0"/>
    <xf numFmtId="0" fontId="145" fillId="0" borderId="30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5" fillId="0" borderId="30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146" fillId="0" borderId="31" applyNumberFormat="0" applyFill="0" applyAlignment="0" applyProtection="0"/>
    <xf numFmtId="0" fontId="73" fillId="0" borderId="32" applyNumberFormat="0" applyFill="0" applyAlignment="0" applyProtection="0"/>
    <xf numFmtId="0" fontId="147" fillId="0" borderId="33" applyNumberFormat="0" applyFill="0" applyAlignment="0" applyProtection="0"/>
    <xf numFmtId="0" fontId="147" fillId="0" borderId="33" applyNumberFormat="0" applyFill="0" applyAlignment="0" applyProtection="0"/>
    <xf numFmtId="0" fontId="147" fillId="0" borderId="33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7" fillId="0" borderId="33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148" fillId="0" borderId="34" applyNumberFormat="0" applyFill="0" applyAlignment="0" applyProtection="0"/>
    <xf numFmtId="0" fontId="73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42" fillId="59" borderId="0"/>
    <xf numFmtId="0" fontId="55" fillId="49" borderId="0"/>
    <xf numFmtId="0" fontId="19" fillId="59" borderId="0" applyNumberFormat="0"/>
    <xf numFmtId="0" fontId="13" fillId="0" borderId="0"/>
    <xf numFmtId="0" fontId="149" fillId="0" borderId="0" applyNumberFormat="0" applyFill="0" applyBorder="0" applyAlignment="0" applyProtection="0"/>
    <xf numFmtId="230" fontId="7" fillId="0" borderId="0" applyBorder="0" applyAlignment="0"/>
    <xf numFmtId="10" fontId="35" fillId="2" borderId="2" applyNumberFormat="0" applyBorder="0" applyAlignment="0" applyProtection="0"/>
    <xf numFmtId="0" fontId="74" fillId="6" borderId="10" applyNumberFormat="0" applyAlignment="0" applyProtection="0"/>
    <xf numFmtId="0" fontId="74" fillId="6" borderId="10" applyNumberFormat="0" applyAlignment="0" applyProtection="0"/>
    <xf numFmtId="0" fontId="74" fillId="6" borderId="10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74" fillId="6" borderId="10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0" fontId="150" fillId="30" borderId="12" applyNumberFormat="0" applyAlignment="0" applyProtection="0"/>
    <xf numFmtId="213" fontId="129" fillId="0" borderId="0" applyNumberFormat="0" applyBorder="0" applyAlignment="0" applyProtection="0"/>
    <xf numFmtId="227" fontId="151" fillId="60" borderId="6"/>
    <xf numFmtId="15" fontId="152" fillId="60" borderId="2">
      <alignment horizontal="center"/>
    </xf>
    <xf numFmtId="17" fontId="152" fillId="60" borderId="2">
      <alignment horizontal="center"/>
    </xf>
    <xf numFmtId="17" fontId="152" fillId="60" borderId="2">
      <alignment horizontal="center"/>
    </xf>
    <xf numFmtId="17" fontId="152" fillId="60" borderId="2">
      <alignment horizontal="center"/>
    </xf>
    <xf numFmtId="17" fontId="152" fillId="60" borderId="2">
      <alignment horizontal="center"/>
    </xf>
    <xf numFmtId="17" fontId="152" fillId="60" borderId="2">
      <alignment horizontal="center"/>
    </xf>
    <xf numFmtId="10" fontId="152" fillId="60" borderId="2">
      <alignment horizontal="center"/>
    </xf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53" fillId="0" borderId="0" applyNumberFormat="0" applyFill="0" applyBorder="0" applyAlignment="0" applyProtection="0">
      <alignment vertical="top"/>
      <protection locked="0"/>
    </xf>
    <xf numFmtId="0" fontId="75" fillId="0" borderId="13" applyNumberFormat="0" applyFill="0" applyAlignment="0" applyProtection="0"/>
    <xf numFmtId="0" fontId="75" fillId="0" borderId="13" applyNumberFormat="0" applyFill="0" applyAlignment="0" applyProtection="0"/>
    <xf numFmtId="0" fontId="75" fillId="0" borderId="13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75" fillId="0" borderId="13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0" fontId="34" fillId="0" borderId="35" applyNumberFormat="0" applyFill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2" fontId="35" fillId="0" borderId="0" applyFill="0" applyBorder="0" applyProtection="0"/>
    <xf numFmtId="233" fontId="154" fillId="0" borderId="0" applyFont="0" applyFill="0" applyBorder="0" applyAlignment="0" applyProtection="0"/>
    <xf numFmtId="38" fontId="154" fillId="0" borderId="0" applyFont="0" applyFill="0" applyBorder="0" applyAlignment="0" applyProtection="0"/>
    <xf numFmtId="171" fontId="7" fillId="0" borderId="0" applyFont="0" applyFill="0" applyBorder="0" applyAlignment="0" applyProtection="0"/>
    <xf numFmtId="234" fontId="7" fillId="0" borderId="0" applyFont="0" applyFill="0" applyProtection="0"/>
    <xf numFmtId="165" fontId="7" fillId="0" borderId="0" applyFont="0" applyFill="0" applyBorder="0" applyAlignment="0" applyProtection="0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235" fontId="7" fillId="0" borderId="19"/>
    <xf numFmtId="171" fontId="1" fillId="0" borderId="0" applyFont="0" applyFill="0" applyBorder="0" applyAlignment="0" applyProtection="0"/>
    <xf numFmtId="207" fontId="7" fillId="0" borderId="0" applyFont="0" applyFill="0" applyBorder="0" applyAlignment="0" applyProtection="0"/>
    <xf numFmtId="165" fontId="114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1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14" fillId="0" borderId="0" applyFont="0" applyFill="0" applyBorder="0" applyAlignment="0" applyProtection="0"/>
    <xf numFmtId="165" fontId="156" fillId="0" borderId="0" applyFont="0" applyFill="0" applyBorder="0" applyAlignment="0" applyProtection="0"/>
    <xf numFmtId="165" fontId="6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165" fontId="155" fillId="0" borderId="0" applyFont="0" applyFill="0" applyBorder="0" applyAlignment="0" applyProtection="0"/>
    <xf numFmtId="236" fontId="12" fillId="0" borderId="0" applyFont="0" applyFill="0" applyBorder="0" applyAlignment="0" applyProtection="0"/>
    <xf numFmtId="165" fontId="114" fillId="0" borderId="0" applyFont="0" applyFill="0" applyBorder="0" applyAlignment="0" applyProtection="0"/>
    <xf numFmtId="165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7" fontId="7" fillId="0" borderId="19"/>
    <xf numFmtId="238" fontId="35" fillId="0" borderId="36"/>
    <xf numFmtId="37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9" fontId="129" fillId="0" borderId="0" applyFont="0" applyFill="0" applyBorder="0" applyAlignment="0" applyProtection="0"/>
    <xf numFmtId="0" fontId="158" fillId="61" borderId="37">
      <alignment horizontal="left" vertical="top" indent="2"/>
    </xf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1" fontId="129" fillId="0" borderId="0" applyFont="0" applyFill="0" applyBorder="0" applyAlignment="0" applyProtection="0"/>
    <xf numFmtId="242" fontId="129" fillId="0" borderId="0" applyFont="0" applyFill="0" applyBorder="0" applyAlignment="0" applyProtection="0"/>
    <xf numFmtId="243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245" fontId="35" fillId="0" borderId="0" applyFill="0" applyBorder="0"/>
    <xf numFmtId="246" fontId="117" fillId="0" borderId="0">
      <alignment horizontal="right"/>
    </xf>
    <xf numFmtId="247" fontId="35" fillId="0" borderId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76" fillId="24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0" fontId="76" fillId="24" borderId="0" applyNumberFormat="0" applyBorder="0" applyAlignment="0" applyProtection="0"/>
    <xf numFmtId="37" fontId="159" fillId="0" borderId="0"/>
    <xf numFmtId="0" fontId="159" fillId="0" borderId="0"/>
    <xf numFmtId="0" fontId="159" fillId="0" borderId="0"/>
    <xf numFmtId="0" fontId="159" fillId="0" borderId="0"/>
    <xf numFmtId="0" fontId="159" fillId="0" borderId="0"/>
    <xf numFmtId="0" fontId="159" fillId="0" borderId="0"/>
    <xf numFmtId="0" fontId="123" fillId="0" borderId="0"/>
    <xf numFmtId="248" fontId="129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60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/>
    <xf numFmtId="0" fontId="7" fillId="0" borderId="0"/>
    <xf numFmtId="0" fontId="7" fillId="0" borderId="0"/>
    <xf numFmtId="0" fontId="7" fillId="0" borderId="0"/>
    <xf numFmtId="0" fontId="6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1" fillId="0" borderId="0"/>
    <xf numFmtId="0" fontId="161" fillId="0" borderId="0"/>
    <xf numFmtId="0" fontId="64" fillId="0" borderId="0"/>
    <xf numFmtId="0" fontId="161" fillId="0" borderId="0"/>
    <xf numFmtId="0" fontId="16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1" fillId="0" borderId="0"/>
    <xf numFmtId="0" fontId="7" fillId="0" borderId="0"/>
    <xf numFmtId="0" fontId="7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7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0" fillId="0" borderId="0"/>
    <xf numFmtId="0" fontId="9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7" fillId="0" borderId="0">
      <alignment vertical="center"/>
    </xf>
    <xf numFmtId="0" fontId="64" fillId="0" borderId="0"/>
    <xf numFmtId="0" fontId="64" fillId="0" borderId="0"/>
    <xf numFmtId="0" fontId="64" fillId="0" borderId="0"/>
    <xf numFmtId="0" fontId="64" fillId="0" borderId="0"/>
    <xf numFmtId="0" fontId="160" fillId="0" borderId="0"/>
    <xf numFmtId="0" fontId="160" fillId="0" borderId="0"/>
    <xf numFmtId="0" fontId="64" fillId="0" borderId="0"/>
    <xf numFmtId="0" fontId="23" fillId="0" borderId="0"/>
    <xf numFmtId="0" fontId="64" fillId="0" borderId="0"/>
    <xf numFmtId="0" fontId="64" fillId="0" borderId="0"/>
    <xf numFmtId="0" fontId="64" fillId="0" borderId="0"/>
    <xf numFmtId="0" fontId="23" fillId="0" borderId="0"/>
    <xf numFmtId="0" fontId="23" fillId="0" borderId="0"/>
    <xf numFmtId="0" fontId="23" fillId="0" borderId="0"/>
    <xf numFmtId="0" fontId="6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9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3" fillId="0" borderId="0"/>
    <xf numFmtId="0" fontId="16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" fillId="0" borderId="0"/>
    <xf numFmtId="0" fontId="7" fillId="0" borderId="0"/>
    <xf numFmtId="0" fontId="160" fillId="0" borderId="0"/>
    <xf numFmtId="0" fontId="160" fillId="0" borderId="0"/>
    <xf numFmtId="0" fontId="7" fillId="0" borderId="0"/>
    <xf numFmtId="0" fontId="1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3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161" fillId="0" borderId="0"/>
    <xf numFmtId="0" fontId="64" fillId="0" borderId="0"/>
    <xf numFmtId="0" fontId="19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5" fillId="0" borderId="0"/>
    <xf numFmtId="0" fontId="156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7" fillId="0" borderId="0"/>
    <xf numFmtId="0" fontId="32" fillId="0" borderId="0"/>
    <xf numFmtId="0" fontId="12" fillId="0" borderId="0"/>
    <xf numFmtId="0" fontId="12" fillId="0" borderId="0"/>
    <xf numFmtId="0" fontId="1" fillId="0" borderId="0"/>
    <xf numFmtId="0" fontId="7" fillId="0" borderId="0"/>
    <xf numFmtId="0" fontId="32" fillId="0" borderId="0"/>
    <xf numFmtId="0" fontId="154" fillId="0" borderId="0"/>
    <xf numFmtId="0" fontId="7" fillId="0" borderId="0"/>
    <xf numFmtId="0" fontId="1" fillId="0" borderId="0"/>
    <xf numFmtId="0" fontId="154" fillId="0" borderId="0" applyBorder="0"/>
    <xf numFmtId="0" fontId="163" fillId="0" borderId="0"/>
    <xf numFmtId="0" fontId="7" fillId="0" borderId="0"/>
    <xf numFmtId="0" fontId="7" fillId="9" borderId="20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9" borderId="20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20" borderId="38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7" fillId="9" borderId="20" applyNumberFormat="0" applyFont="0" applyAlignment="0" applyProtection="0"/>
    <xf numFmtId="0" fontId="164" fillId="0" borderId="19"/>
    <xf numFmtId="249" fontId="113" fillId="0" borderId="0" applyFill="0" applyBorder="0" applyProtection="0">
      <alignment vertical="center"/>
    </xf>
    <xf numFmtId="0" fontId="116" fillId="3" borderId="0" applyNumberFormat="0" applyFont="0" applyBorder="0" applyAlignment="0"/>
    <xf numFmtId="0" fontId="116" fillId="62" borderId="0" applyNumberFormat="0" applyFont="0" applyBorder="0" applyAlignment="0"/>
    <xf numFmtId="0" fontId="77" fillId="16" borderId="39" applyNumberFormat="0" applyAlignment="0" applyProtection="0"/>
    <xf numFmtId="0" fontId="77" fillId="26" borderId="39" applyNumberFormat="0" applyAlignment="0" applyProtection="0"/>
    <xf numFmtId="0" fontId="77" fillId="26" borderId="39" applyNumberFormat="0" applyAlignment="0" applyProtection="0"/>
    <xf numFmtId="0" fontId="77" fillId="26" borderId="39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77" fillId="26" borderId="39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0" fontId="165" fillId="47" borderId="40" applyNumberFormat="0" applyAlignment="0" applyProtection="0"/>
    <xf numFmtId="40" fontId="166" fillId="61" borderId="0">
      <alignment horizontal="right"/>
    </xf>
    <xf numFmtId="0" fontId="166" fillId="61" borderId="0">
      <alignment horizontal="right"/>
    </xf>
    <xf numFmtId="0" fontId="166" fillId="61" borderId="0">
      <alignment horizontal="right"/>
    </xf>
    <xf numFmtId="0" fontId="166" fillId="61" borderId="0">
      <alignment horizontal="right"/>
    </xf>
    <xf numFmtId="0" fontId="166" fillId="61" borderId="0">
      <alignment horizontal="right"/>
    </xf>
    <xf numFmtId="0" fontId="166" fillId="61" borderId="0">
      <alignment horizontal="right"/>
    </xf>
    <xf numFmtId="0" fontId="167" fillId="63" borderId="15"/>
    <xf numFmtId="0" fontId="168" fillId="0" borderId="0" applyFill="0" applyBorder="0" applyProtection="0">
      <alignment horizontal="left"/>
    </xf>
    <xf numFmtId="0" fontId="169" fillId="0" borderId="0" applyFill="0" applyBorder="0" applyProtection="0">
      <alignment horizontal="left"/>
    </xf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250" fontId="128" fillId="0" borderId="0" applyFont="0" applyFill="0" applyBorder="0" applyProtection="0">
      <alignment horizontal="right"/>
    </xf>
    <xf numFmtId="13" fontId="7" fillId="0" borderId="0" applyFont="0" applyFill="0" applyProtection="0"/>
    <xf numFmtId="9" fontId="160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4" fillId="0" borderId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55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61" fillId="0" borderId="0" applyFont="0" applyFill="0" applyBorder="0" applyAlignment="0" applyProtection="0"/>
    <xf numFmtId="0" fontId="154" fillId="0" borderId="0" applyNumberFormat="0" applyFont="0" applyFill="0" applyBorder="0" applyAlignment="0" applyProtection="0">
      <alignment horizontal="left"/>
    </xf>
    <xf numFmtId="15" fontId="154" fillId="0" borderId="0" applyFont="0" applyFill="0" applyBorder="0" applyAlignment="0" applyProtection="0"/>
    <xf numFmtId="17" fontId="154" fillId="0" borderId="0" applyFont="0" applyFill="0" applyBorder="0" applyAlignment="0" applyProtection="0"/>
    <xf numFmtId="17" fontId="154" fillId="0" borderId="0" applyFont="0" applyFill="0" applyBorder="0" applyAlignment="0" applyProtection="0"/>
    <xf numFmtId="17" fontId="154" fillId="0" borderId="0" applyFont="0" applyFill="0" applyBorder="0" applyAlignment="0" applyProtection="0"/>
    <xf numFmtId="17" fontId="154" fillId="0" borderId="0" applyFont="0" applyFill="0" applyBorder="0" applyAlignment="0" applyProtection="0"/>
    <xf numFmtId="17" fontId="154" fillId="0" borderId="0" applyFont="0" applyFill="0" applyBorder="0" applyAlignment="0" applyProtection="0"/>
    <xf numFmtId="4" fontId="154" fillId="0" borderId="0" applyFont="0" applyFill="0" applyBorder="0" applyAlignment="0" applyProtection="0"/>
    <xf numFmtId="0" fontId="170" fillId="0" borderId="6">
      <alignment horizontal="center"/>
    </xf>
    <xf numFmtId="3" fontId="154" fillId="0" borderId="0" applyFont="0" applyFill="0" applyBorder="0" applyAlignment="0" applyProtection="0"/>
    <xf numFmtId="0" fontId="154" fillId="48" borderId="0" applyNumberFormat="0" applyFont="0" applyBorder="0" applyAlignment="0" applyProtection="0"/>
    <xf numFmtId="251" fontId="113" fillId="0" borderId="15" applyFont="0" applyFill="0" applyBorder="0" applyAlignment="0">
      <protection locked="0"/>
    </xf>
    <xf numFmtId="37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37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3" fillId="0" borderId="23" applyFont="0" applyFill="0" applyBorder="0" applyAlignment="0" applyProtection="0">
      <protection locked="0"/>
    </xf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0" fontId="113" fillId="0" borderId="23" applyFont="0" applyFill="0" applyBorder="0" applyAlignment="0" applyProtection="0">
      <protection locked="0"/>
    </xf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7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54" fillId="0" borderId="0" applyNumberFormat="0" applyFont="0" applyFill="0" applyAlignment="0"/>
    <xf numFmtId="0" fontId="92" fillId="64" borderId="0" applyNumberFormat="0" applyFill="0" applyBorder="0" applyAlignment="0">
      <alignment horizontal="center"/>
    </xf>
    <xf numFmtId="0" fontId="59" fillId="0" borderId="0" applyNumberFormat="0" applyBorder="0"/>
    <xf numFmtId="0" fontId="171" fillId="0" borderId="0"/>
    <xf numFmtId="4" fontId="45" fillId="24" borderId="41" applyNumberFormat="0" applyProtection="0">
      <alignment vertical="center"/>
    </xf>
    <xf numFmtId="4" fontId="165" fillId="24" borderId="41" applyNumberFormat="0" applyProtection="0">
      <alignment vertical="center"/>
    </xf>
    <xf numFmtId="4" fontId="45" fillId="24" borderId="41" applyNumberFormat="0" applyProtection="0">
      <alignment horizontal="left" vertical="center" indent="1"/>
    </xf>
    <xf numFmtId="0" fontId="45" fillId="24" borderId="41" applyNumberFormat="0" applyProtection="0">
      <alignment horizontal="left" vertical="top" indent="1"/>
    </xf>
    <xf numFmtId="4" fontId="45" fillId="30" borderId="0" applyNumberFormat="0" applyProtection="0">
      <alignment horizontal="left" vertical="center" indent="1"/>
    </xf>
    <xf numFmtId="4" fontId="44" fillId="7" borderId="41" applyNumberFormat="0" applyProtection="0">
      <alignment horizontal="right" vertical="center"/>
    </xf>
    <xf numFmtId="4" fontId="44" fillId="22" borderId="41" applyNumberFormat="0" applyProtection="0">
      <alignment horizontal="right" vertical="center"/>
    </xf>
    <xf numFmtId="4" fontId="44" fillId="38" borderId="41" applyNumberFormat="0" applyProtection="0">
      <alignment horizontal="right" vertical="center"/>
    </xf>
    <xf numFmtId="4" fontId="44" fillId="27" borderId="41" applyNumberFormat="0" applyProtection="0">
      <alignment horizontal="right" vertical="center"/>
    </xf>
    <xf numFmtId="4" fontId="44" fillId="15" borderId="41" applyNumberFormat="0" applyProtection="0">
      <alignment horizontal="right" vertical="center"/>
    </xf>
    <xf numFmtId="4" fontId="44" fillId="44" borderId="41" applyNumberFormat="0" applyProtection="0">
      <alignment horizontal="right" vertical="center"/>
    </xf>
    <xf numFmtId="4" fontId="44" fillId="42" borderId="41" applyNumberFormat="0" applyProtection="0">
      <alignment horizontal="right" vertical="center"/>
    </xf>
    <xf numFmtId="4" fontId="44" fillId="65" borderId="41" applyNumberFormat="0" applyProtection="0">
      <alignment horizontal="right" vertical="center"/>
    </xf>
    <xf numFmtId="4" fontId="44" fillId="25" borderId="41" applyNumberFormat="0" applyProtection="0">
      <alignment horizontal="right" vertical="center"/>
    </xf>
    <xf numFmtId="4" fontId="45" fillId="66" borderId="42" applyNumberFormat="0" applyProtection="0">
      <alignment horizontal="left" vertical="center" indent="1"/>
    </xf>
    <xf numFmtId="4" fontId="44" fillId="17" borderId="0" applyNumberFormat="0" applyProtection="0">
      <alignment horizontal="left" vertical="center" indent="1"/>
    </xf>
    <xf numFmtId="4" fontId="172" fillId="43" borderId="0" applyNumberFormat="0" applyProtection="0">
      <alignment horizontal="left" vertical="center" indent="1"/>
    </xf>
    <xf numFmtId="4" fontId="44" fillId="30" borderId="41" applyNumberFormat="0" applyProtection="0">
      <alignment horizontal="right" vertical="center"/>
    </xf>
    <xf numFmtId="4" fontId="44" fillId="17" borderId="0" applyNumberFormat="0" applyProtection="0">
      <alignment horizontal="left" vertical="center" indent="1"/>
    </xf>
    <xf numFmtId="4" fontId="44" fillId="30" borderId="0" applyNumberFormat="0" applyProtection="0">
      <alignment horizontal="left" vertical="center" indent="1"/>
    </xf>
    <xf numFmtId="0" fontId="7" fillId="43" borderId="41" applyNumberFormat="0" applyProtection="0">
      <alignment horizontal="left" vertical="center" indent="1"/>
    </xf>
    <xf numFmtId="0" fontId="7" fillId="43" borderId="41" applyNumberFormat="0" applyProtection="0">
      <alignment horizontal="left" vertical="top" indent="1"/>
    </xf>
    <xf numFmtId="0" fontId="7" fillId="30" borderId="41" applyNumberFormat="0" applyProtection="0">
      <alignment horizontal="left" vertical="center" indent="1"/>
    </xf>
    <xf numFmtId="0" fontId="7" fillId="30" borderId="41" applyNumberFormat="0" applyProtection="0">
      <alignment horizontal="left" vertical="top" indent="1"/>
    </xf>
    <xf numFmtId="0" fontId="7" fillId="21" borderId="41" applyNumberFormat="0" applyProtection="0">
      <alignment horizontal="left" vertical="center" indent="1"/>
    </xf>
    <xf numFmtId="0" fontId="7" fillId="21" borderId="41" applyNumberFormat="0" applyProtection="0">
      <alignment horizontal="left" vertical="top" indent="1"/>
    </xf>
    <xf numFmtId="0" fontId="7" fillId="17" borderId="41" applyNumberFormat="0" applyProtection="0">
      <alignment horizontal="left" vertical="center" indent="1"/>
    </xf>
    <xf numFmtId="0" fontId="7" fillId="17" borderId="41" applyNumberFormat="0" applyProtection="0">
      <alignment horizontal="left" vertical="top" indent="1"/>
    </xf>
    <xf numFmtId="0" fontId="7" fillId="16" borderId="2" applyNumberFormat="0">
      <protection locked="0"/>
    </xf>
    <xf numFmtId="4" fontId="44" fillId="9" borderId="41" applyNumberFormat="0" applyProtection="0">
      <alignment vertical="center"/>
    </xf>
    <xf numFmtId="4" fontId="173" fillId="9" borderId="41" applyNumberFormat="0" applyProtection="0">
      <alignment vertical="center"/>
    </xf>
    <xf numFmtId="4" fontId="44" fillId="9" borderId="41" applyNumberFormat="0" applyProtection="0">
      <alignment horizontal="left" vertical="center" indent="1"/>
    </xf>
    <xf numFmtId="0" fontId="44" fillId="9" borderId="41" applyNumberFormat="0" applyProtection="0">
      <alignment horizontal="left" vertical="top" indent="1"/>
    </xf>
    <xf numFmtId="4" fontId="44" fillId="17" borderId="41" applyNumberFormat="0" applyProtection="0">
      <alignment horizontal="right" vertical="center"/>
    </xf>
    <xf numFmtId="4" fontId="173" fillId="17" borderId="41" applyNumberFormat="0" applyProtection="0">
      <alignment horizontal="right" vertical="center"/>
    </xf>
    <xf numFmtId="4" fontId="44" fillId="30" borderId="41" applyNumberFormat="0" applyProtection="0">
      <alignment horizontal="left" vertical="center" indent="1"/>
    </xf>
    <xf numFmtId="0" fontId="44" fillId="30" borderId="41" applyNumberFormat="0" applyProtection="0">
      <alignment horizontal="left" vertical="top" indent="1"/>
    </xf>
    <xf numFmtId="4" fontId="174" fillId="20" borderId="0" applyNumberFormat="0" applyProtection="0">
      <alignment horizontal="left" vertical="center" indent="1"/>
    </xf>
    <xf numFmtId="4" fontId="11" fillId="17" borderId="41" applyNumberFormat="0" applyProtection="0">
      <alignment horizontal="right" vertical="center"/>
    </xf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38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252" fontId="154" fillId="0" borderId="0" applyFont="0" applyFill="0" applyBorder="0" applyAlignment="0" applyProtection="0"/>
    <xf numFmtId="253" fontId="154" fillId="0" borderId="0" applyFont="0" applyFill="0" applyBorder="0" applyAlignment="0" applyProtection="0"/>
    <xf numFmtId="254" fontId="35" fillId="0" borderId="0">
      <alignment vertical="center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7" fillId="67" borderId="0">
      <alignment horizontal="right"/>
    </xf>
    <xf numFmtId="0" fontId="114" fillId="68" borderId="0" applyNumberFormat="0" applyFont="0" applyBorder="0" applyAlignment="0" applyProtection="0"/>
    <xf numFmtId="0" fontId="78" fillId="0" borderId="0" applyNumberFormat="0" applyFill="0" applyBorder="0" applyAlignment="0" applyProtection="0"/>
    <xf numFmtId="0" fontId="175" fillId="0" borderId="0" applyFill="0" applyBorder="0" applyProtection="0">
      <alignment horizontal="centerContinuous" vertical="top"/>
    </xf>
    <xf numFmtId="0" fontId="77" fillId="2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77" fillId="16" borderId="39" applyNumberFormat="0" applyAlignment="0" applyProtection="0"/>
    <xf numFmtId="0" fontId="114" fillId="0" borderId="0" applyFill="0" applyBorder="0" applyProtection="0">
      <alignment horizontal="left"/>
    </xf>
    <xf numFmtId="0" fontId="82" fillId="0" borderId="0"/>
    <xf numFmtId="0" fontId="7" fillId="0" borderId="0"/>
    <xf numFmtId="0" fontId="114" fillId="0" borderId="43"/>
    <xf numFmtId="0" fontId="1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0">
      <alignment horizontal="left" wrapText="1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7" fillId="0" borderId="44" applyBorder="0">
      <alignment horizontal="center"/>
    </xf>
    <xf numFmtId="0" fontId="19" fillId="0" borderId="0" applyFill="0" applyBorder="0" applyProtection="0">
      <alignment horizontal="center" vertical="center"/>
    </xf>
    <xf numFmtId="0" fontId="19" fillId="0" borderId="0" applyFill="0" applyBorder="0" applyProtection="0"/>
    <xf numFmtId="0" fontId="13" fillId="0" borderId="0" applyFill="0" applyBorder="0" applyProtection="0">
      <alignment horizontal="left"/>
    </xf>
    <xf numFmtId="0" fontId="176" fillId="0" borderId="0" applyFill="0" applyBorder="0" applyProtection="0">
      <alignment horizontal="left" vertical="top"/>
    </xf>
    <xf numFmtId="0" fontId="35" fillId="61" borderId="44" applyNumberFormat="0" applyBorder="0" applyAlignment="0" applyProtection="0">
      <protection locked="0"/>
    </xf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222" fontId="7" fillId="2" borderId="8" applyNumberFormat="0">
      <alignment horizontal="right"/>
      <protection hidden="1"/>
    </xf>
    <xf numFmtId="0" fontId="116" fillId="3" borderId="24" applyNumberFormat="0" applyFont="0">
      <alignment horizontal="center" vertical="center"/>
    </xf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4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78" fillId="0" borderId="0" applyNumberFormat="0" applyFill="0" applyBorder="0" applyAlignment="0" applyProtection="0"/>
    <xf numFmtId="256" fontId="7" fillId="18" borderId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56" fontId="7" fillId="18" borderId="0"/>
    <xf numFmtId="222" fontId="179" fillId="58" borderId="45">
      <alignment horizontal="left" vertical="top"/>
      <protection hidden="1"/>
    </xf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43" fillId="0" borderId="28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71" fillId="0" borderId="27" applyNumberFormat="0" applyFill="0" applyAlignment="0" applyProtection="0"/>
    <xf numFmtId="0" fontId="145" fillId="0" borderId="30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72" fillId="0" borderId="46" applyNumberFormat="0" applyFill="0" applyAlignment="0" applyProtection="0"/>
    <xf numFmtId="0" fontId="147" fillId="0" borderId="33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73" fillId="0" borderId="47" applyNumberFormat="0" applyFill="0" applyAlignment="0" applyProtection="0"/>
    <xf numFmtId="0" fontId="14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81" fillId="0" borderId="0" applyBorder="0"/>
    <xf numFmtId="0" fontId="81" fillId="0" borderId="48" applyNumberFormat="0" applyFill="0" applyAlignment="0" applyProtection="0"/>
    <xf numFmtId="257" fontId="142" fillId="69" borderId="49">
      <protection hidden="1"/>
    </xf>
    <xf numFmtId="257" fontId="182" fillId="70" borderId="25" applyAlignment="0">
      <alignment horizontal="left"/>
      <protection hidden="1"/>
    </xf>
    <xf numFmtId="257" fontId="183" fillId="71" borderId="26" applyAlignment="0">
      <alignment horizontal="left" indent="1"/>
      <protection hidden="1"/>
    </xf>
    <xf numFmtId="258" fontId="156" fillId="72" borderId="0" applyAlignment="0">
      <alignment horizontal="left" indent="2"/>
      <protection hidden="1"/>
    </xf>
    <xf numFmtId="257" fontId="184" fillId="61" borderId="0" applyAlignment="0">
      <alignment horizontal="left" indent="3"/>
      <protection hidden="1"/>
    </xf>
    <xf numFmtId="0" fontId="116" fillId="0" borderId="3" applyNumberFormat="0" applyFont="0" applyFill="0" applyAlignment="0"/>
    <xf numFmtId="0" fontId="116" fillId="0" borderId="50" applyNumberFormat="0" applyFont="0" applyFill="0" applyAlignment="0"/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259" fontId="7" fillId="0" borderId="0" applyFont="0" applyFill="0" applyBorder="0" applyAlignment="0" applyProtection="0">
      <alignment horizontal="center"/>
    </xf>
    <xf numFmtId="0" fontId="35" fillId="2" borderId="9">
      <alignment horizontal="right"/>
    </xf>
    <xf numFmtId="39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0" fontId="114" fillId="0" borderId="19" applyFont="0" applyFill="0" applyBorder="0" applyAlignment="0" applyProtection="0"/>
    <xf numFmtId="39" fontId="113" fillId="0" borderId="51" applyFont="0" applyFill="0" applyBorder="0" applyAlignment="0" applyProtection="0">
      <protection locked="0"/>
    </xf>
    <xf numFmtId="0" fontId="113" fillId="0" borderId="51" applyFont="0" applyFill="0" applyBorder="0" applyAlignment="0" applyProtection="0">
      <protection locked="0"/>
    </xf>
    <xf numFmtId="0" fontId="113" fillId="0" borderId="51" applyFont="0" applyFill="0" applyBorder="0" applyAlignment="0" applyProtection="0">
      <protection locked="0"/>
    </xf>
    <xf numFmtId="0" fontId="113" fillId="0" borderId="51" applyFont="0" applyFill="0" applyBorder="0" applyAlignment="0" applyProtection="0">
      <protection locked="0"/>
    </xf>
    <xf numFmtId="0" fontId="113" fillId="0" borderId="51" applyFont="0" applyFill="0" applyBorder="0" applyAlignment="0" applyProtection="0">
      <protection locked="0"/>
    </xf>
    <xf numFmtId="0" fontId="113" fillId="0" borderId="51" applyFont="0" applyFill="0" applyBorder="0" applyAlignment="0" applyProtection="0">
      <protection locked="0"/>
    </xf>
    <xf numFmtId="166" fontId="154" fillId="0" borderId="0" applyFont="0" applyFill="0" applyBorder="0" applyAlignment="0" applyProtection="0"/>
    <xf numFmtId="0" fontId="68" fillId="4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68" fillId="26" borderId="16" applyNumberFormat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260" fontId="128" fillId="0" borderId="0" applyFont="0" applyFill="0" applyBorder="0" applyProtection="0">
      <alignment horizontal="right"/>
    </xf>
    <xf numFmtId="261" fontId="35" fillId="0" borderId="0" applyFill="0" applyProtection="0"/>
    <xf numFmtId="40" fontId="186" fillId="0" borderId="0" applyFont="0" applyFill="0" applyBorder="0" applyAlignment="0" applyProtection="0"/>
    <xf numFmtId="38" fontId="186" fillId="0" borderId="0" applyFont="0" applyFill="0" applyBorder="0" applyAlignment="0" applyProtection="0"/>
    <xf numFmtId="0" fontId="186" fillId="0" borderId="0" applyFont="0" applyFill="0" applyBorder="0" applyAlignment="0" applyProtection="0"/>
    <xf numFmtId="0" fontId="186" fillId="0" borderId="0" applyFont="0" applyFill="0" applyBorder="0" applyAlignment="0" applyProtection="0"/>
    <xf numFmtId="0" fontId="18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62" fontId="188" fillId="0" borderId="0" applyFont="0" applyFill="0" applyBorder="0" applyAlignment="0" applyProtection="0"/>
    <xf numFmtId="263" fontId="188" fillId="0" borderId="0" applyFont="0" applyFill="0" applyBorder="0" applyAlignment="0" applyProtection="0"/>
    <xf numFmtId="0" fontId="189" fillId="0" borderId="0"/>
  </cellStyleXfs>
  <cellXfs count="575">
    <xf numFmtId="0" fontId="0" fillId="0" borderId="0" xfId="0"/>
    <xf numFmtId="0" fontId="7" fillId="0" borderId="0" xfId="1546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right" wrapText="1"/>
    </xf>
    <xf numFmtId="0" fontId="6" fillId="0" borderId="0" xfId="0" applyFont="1" applyFill="1" applyAlignment="1">
      <alignment horizontal="left" wrapText="1"/>
    </xf>
    <xf numFmtId="172" fontId="6" fillId="0" borderId="0" xfId="0" applyNumberFormat="1" applyFont="1" applyFill="1" applyAlignment="1">
      <alignment horizontal="right" wrapText="1"/>
    </xf>
    <xf numFmtId="0" fontId="6" fillId="0" borderId="5" xfId="0" applyFont="1" applyFill="1" applyBorder="1" applyAlignment="1">
      <alignment horizontal="left" wrapText="1"/>
    </xf>
    <xf numFmtId="172" fontId="6" fillId="0" borderId="5" xfId="0" applyNumberFormat="1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left" wrapText="1"/>
    </xf>
    <xf numFmtId="172" fontId="4" fillId="0" borderId="5" xfId="0" applyNumberFormat="1" applyFont="1" applyFill="1" applyBorder="1" applyAlignment="1">
      <alignment horizontal="right" wrapText="1"/>
    </xf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horizontal="left" wrapText="1"/>
    </xf>
    <xf numFmtId="172" fontId="10" fillId="0" borderId="0" xfId="0" applyNumberFormat="1" applyFont="1" applyFill="1" applyAlignment="1">
      <alignment horizontal="right" wrapText="1"/>
    </xf>
    <xf numFmtId="0" fontId="11" fillId="0" borderId="0" xfId="0" applyFont="1"/>
    <xf numFmtId="0" fontId="12" fillId="0" borderId="0" xfId="0" applyFont="1" applyFill="1" applyAlignment="1">
      <alignment vertical="top"/>
    </xf>
    <xf numFmtId="172" fontId="9" fillId="0" borderId="0" xfId="0" applyNumberFormat="1" applyFont="1" applyFill="1" applyAlignment="1">
      <alignment horizontal="right" wrapText="1"/>
    </xf>
    <xf numFmtId="4" fontId="0" fillId="0" borderId="0" xfId="0" applyNumberFormat="1"/>
    <xf numFmtId="4" fontId="13" fillId="0" borderId="0" xfId="0" applyNumberFormat="1" applyFont="1"/>
    <xf numFmtId="0" fontId="13" fillId="0" borderId="0" xfId="0" applyFont="1"/>
    <xf numFmtId="0" fontId="14" fillId="0" borderId="0" xfId="0" applyFont="1" applyAlignment="1">
      <alignment horizontal="right"/>
    </xf>
    <xf numFmtId="4" fontId="16" fillId="0" borderId="0" xfId="0" applyNumberFormat="1" applyFont="1"/>
    <xf numFmtId="0" fontId="15" fillId="0" borderId="0" xfId="0" applyFont="1"/>
    <xf numFmtId="0" fontId="16" fillId="0" borderId="0" xfId="0" applyFont="1"/>
    <xf numFmtId="0" fontId="0" fillId="0" borderId="0" xfId="0" applyAlignment="1">
      <alignment wrapText="1"/>
    </xf>
    <xf numFmtId="0" fontId="2" fillId="0" borderId="0" xfId="0" applyFont="1" applyFill="1" applyAlignment="1">
      <alignment horizontal="left" indent="1"/>
    </xf>
    <xf numFmtId="0" fontId="0" fillId="0" borderId="0" xfId="0" applyFill="1"/>
    <xf numFmtId="15" fontId="2" fillId="0" borderId="26" xfId="0" applyNumberFormat="1" applyFont="1" applyFill="1" applyBorder="1" applyAlignment="1">
      <alignment horizontal="left" indent="1"/>
    </xf>
    <xf numFmtId="15" fontId="2" fillId="0" borderId="26" xfId="0" quotePrefix="1" applyNumberFormat="1" applyFont="1" applyFill="1" applyBorder="1" applyAlignment="1">
      <alignment horizontal="left" indent="1"/>
    </xf>
    <xf numFmtId="15" fontId="2" fillId="0" borderId="52" xfId="0" quotePrefix="1" applyNumberFormat="1" applyFont="1" applyFill="1" applyBorder="1" applyAlignment="1">
      <alignment horizontal="left" indent="1"/>
    </xf>
    <xf numFmtId="15" fontId="2" fillId="0" borderId="53" xfId="0" applyNumberFormat="1" applyFont="1" applyFill="1" applyBorder="1" applyAlignment="1">
      <alignment horizontal="left" indent="1"/>
    </xf>
    <xf numFmtId="172" fontId="6" fillId="49" borderId="0" xfId="0" applyNumberFormat="1" applyFont="1" applyFill="1" applyAlignment="1">
      <alignment horizontal="right" wrapText="1"/>
    </xf>
    <xf numFmtId="172" fontId="9" fillId="49" borderId="0" xfId="0" applyNumberFormat="1" applyFont="1" applyFill="1" applyAlignment="1">
      <alignment horizontal="right" wrapText="1"/>
    </xf>
    <xf numFmtId="172" fontId="10" fillId="49" borderId="0" xfId="0" applyNumberFormat="1" applyFont="1" applyFill="1" applyAlignment="1">
      <alignment horizontal="right" wrapText="1"/>
    </xf>
    <xf numFmtId="172" fontId="6" fillId="49" borderId="5" xfId="0" applyNumberFormat="1" applyFont="1" applyFill="1" applyBorder="1" applyAlignment="1">
      <alignment horizontal="right" wrapText="1"/>
    </xf>
    <xf numFmtId="172" fontId="4" fillId="49" borderId="5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wrapText="1"/>
    </xf>
    <xf numFmtId="0" fontId="20" fillId="0" borderId="0" xfId="0" applyFont="1" applyFill="1"/>
    <xf numFmtId="0" fontId="20" fillId="0" borderId="0" xfId="0" applyFont="1"/>
    <xf numFmtId="0" fontId="20" fillId="0" borderId="0" xfId="0" applyFont="1" applyFill="1" applyAlignment="1">
      <alignment wrapText="1"/>
    </xf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Alignment="1">
      <alignment horizontal="center"/>
    </xf>
    <xf numFmtId="0" fontId="22" fillId="0" borderId="5" xfId="0" applyFont="1" applyFill="1" applyBorder="1" applyAlignment="1">
      <alignment horizontal="justify" wrapText="1"/>
    </xf>
    <xf numFmtId="0" fontId="20" fillId="73" borderId="5" xfId="0" applyFont="1" applyFill="1" applyBorder="1" applyAlignment="1">
      <alignment horizontal="right" wrapText="1"/>
    </xf>
    <xf numFmtId="0" fontId="20" fillId="0" borderId="5" xfId="0" applyFont="1" applyFill="1" applyBorder="1" applyAlignment="1">
      <alignment horizontal="right" wrapText="1"/>
    </xf>
    <xf numFmtId="0" fontId="23" fillId="0" borderId="0" xfId="0" applyFont="1" applyFill="1" applyAlignment="1">
      <alignment horizontal="left" wrapText="1"/>
    </xf>
    <xf numFmtId="172" fontId="23" fillId="73" borderId="0" xfId="0" applyNumberFormat="1" applyFont="1" applyFill="1" applyAlignment="1">
      <alignment horizontal="right" wrapText="1"/>
    </xf>
    <xf numFmtId="172" fontId="23" fillId="0" borderId="0" xfId="0" applyNumberFormat="1" applyFont="1" applyFill="1" applyAlignment="1">
      <alignment horizontal="right" wrapText="1"/>
    </xf>
    <xf numFmtId="0" fontId="23" fillId="0" borderId="5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172" fontId="23" fillId="73" borderId="26" xfId="0" applyNumberFormat="1" applyFont="1" applyFill="1" applyBorder="1" applyAlignment="1">
      <alignment horizontal="right" wrapText="1"/>
    </xf>
    <xf numFmtId="172" fontId="23" fillId="0" borderId="26" xfId="0" applyNumberFormat="1" applyFont="1" applyFill="1" applyBorder="1" applyAlignment="1">
      <alignment horizontal="right" wrapText="1"/>
    </xf>
    <xf numFmtId="0" fontId="24" fillId="0" borderId="0" xfId="0" applyFont="1"/>
    <xf numFmtId="173" fontId="24" fillId="0" borderId="0" xfId="0" applyNumberFormat="1" applyFont="1"/>
    <xf numFmtId="172" fontId="4" fillId="0" borderId="0" xfId="0" applyNumberFormat="1" applyFont="1" applyFill="1" applyAlignment="1">
      <alignment horizontal="right" wrapText="1"/>
    </xf>
    <xf numFmtId="172" fontId="9" fillId="60" borderId="0" xfId="0" applyNumberFormat="1" applyFont="1" applyFill="1" applyAlignment="1">
      <alignment horizontal="right" wrapText="1"/>
    </xf>
    <xf numFmtId="172" fontId="24" fillId="0" borderId="0" xfId="0" applyNumberFormat="1" applyFont="1" applyFill="1" applyAlignment="1">
      <alignment horizontal="right" wrapText="1"/>
    </xf>
    <xf numFmtId="0" fontId="7" fillId="0" borderId="0" xfId="1147" applyFont="1" applyAlignment="1" applyProtection="1"/>
    <xf numFmtId="172" fontId="10" fillId="57" borderId="0" xfId="0" applyNumberFormat="1" applyFont="1" applyFill="1" applyAlignment="1">
      <alignment horizontal="right" wrapText="1"/>
    </xf>
    <xf numFmtId="172" fontId="23" fillId="0" borderId="0" xfId="0" applyNumberFormat="1" applyFont="1" applyFill="1" applyBorder="1" applyAlignment="1">
      <alignment horizontal="right" wrapText="1"/>
    </xf>
    <xf numFmtId="0" fontId="26" fillId="0" borderId="0" xfId="0" applyFont="1" applyFill="1" applyBorder="1" applyAlignment="1">
      <alignment horizontal="left" wrapText="1"/>
    </xf>
    <xf numFmtId="0" fontId="26" fillId="0" borderId="0" xfId="0" applyFont="1" applyFill="1" applyAlignment="1">
      <alignment horizontal="center"/>
    </xf>
    <xf numFmtId="0" fontId="27" fillId="0" borderId="0" xfId="0" applyFont="1"/>
    <xf numFmtId="0" fontId="28" fillId="0" borderId="5" xfId="0" applyFont="1" applyFill="1" applyBorder="1" applyAlignment="1">
      <alignment horizontal="justify" wrapText="1"/>
    </xf>
    <xf numFmtId="0" fontId="27" fillId="73" borderId="5" xfId="0" applyFont="1" applyFill="1" applyBorder="1" applyAlignment="1">
      <alignment horizontal="right" wrapText="1"/>
    </xf>
    <xf numFmtId="0" fontId="27" fillId="0" borderId="0" xfId="0" applyFont="1" applyFill="1" applyBorder="1" applyAlignment="1">
      <alignment horizontal="right" wrapText="1"/>
    </xf>
    <xf numFmtId="0" fontId="27" fillId="0" borderId="5" xfId="0" applyFont="1" applyFill="1" applyBorder="1" applyAlignment="1">
      <alignment horizontal="right" wrapText="1"/>
    </xf>
    <xf numFmtId="0" fontId="27" fillId="0" borderId="0" xfId="0" applyFont="1" applyFill="1" applyAlignment="1">
      <alignment horizontal="left" wrapText="1"/>
    </xf>
    <xf numFmtId="172" fontId="27" fillId="73" borderId="0" xfId="0" applyNumberFormat="1" applyFont="1" applyFill="1" applyAlignment="1">
      <alignment horizontal="right" wrapText="1"/>
    </xf>
    <xf numFmtId="172" fontId="27" fillId="0" borderId="0" xfId="0" applyNumberFormat="1" applyFont="1" applyFill="1" applyAlignment="1">
      <alignment horizontal="right" wrapText="1"/>
    </xf>
    <xf numFmtId="173" fontId="27" fillId="0" borderId="0" xfId="0" applyNumberFormat="1" applyFont="1" applyFill="1" applyAlignment="1">
      <alignment horizontal="right" wrapText="1"/>
    </xf>
    <xf numFmtId="176" fontId="27" fillId="0" borderId="0" xfId="0" applyNumberFormat="1" applyFont="1"/>
    <xf numFmtId="175" fontId="27" fillId="0" borderId="0" xfId="0" applyNumberFormat="1" applyFont="1" applyFill="1" applyAlignment="1">
      <alignment horizontal="right" wrapText="1"/>
    </xf>
    <xf numFmtId="0" fontId="27" fillId="0" borderId="5" xfId="0" applyFont="1" applyFill="1" applyBorder="1" applyAlignment="1">
      <alignment horizontal="left" wrapText="1"/>
    </xf>
    <xf numFmtId="173" fontId="27" fillId="73" borderId="5" xfId="0" applyNumberFormat="1" applyFont="1" applyFill="1" applyBorder="1" applyAlignment="1">
      <alignment horizontal="right" wrapText="1"/>
    </xf>
    <xf numFmtId="173" fontId="27" fillId="0" borderId="0" xfId="0" applyNumberFormat="1" applyFont="1" applyFill="1" applyBorder="1" applyAlignment="1">
      <alignment horizontal="right" wrapText="1"/>
    </xf>
    <xf numFmtId="173" fontId="27" fillId="0" borderId="5" xfId="0" applyNumberFormat="1" applyFont="1" applyFill="1" applyBorder="1" applyAlignment="1">
      <alignment horizontal="right" wrapText="1"/>
    </xf>
    <xf numFmtId="0" fontId="26" fillId="0" borderId="5" xfId="0" applyFont="1" applyFill="1" applyBorder="1" applyAlignment="1">
      <alignment horizontal="left" wrapText="1"/>
    </xf>
    <xf numFmtId="172" fontId="27" fillId="73" borderId="26" xfId="0" applyNumberFormat="1" applyFont="1" applyFill="1" applyBorder="1" applyAlignment="1">
      <alignment horizontal="right" wrapText="1"/>
    </xf>
    <xf numFmtId="172" fontId="27" fillId="0" borderId="0" xfId="0" applyNumberFormat="1" applyFont="1" applyFill="1" applyBorder="1" applyAlignment="1">
      <alignment horizontal="right" wrapText="1"/>
    </xf>
    <xf numFmtId="172" fontId="27" fillId="0" borderId="26" xfId="0" applyNumberFormat="1" applyFont="1" applyFill="1" applyBorder="1" applyAlignment="1">
      <alignment horizontal="right" wrapText="1"/>
    </xf>
    <xf numFmtId="173" fontId="26" fillId="0" borderId="5" xfId="0" applyNumberFormat="1" applyFont="1" applyFill="1" applyBorder="1" applyAlignment="1">
      <alignment horizontal="right" wrapText="1"/>
    </xf>
    <xf numFmtId="172" fontId="23" fillId="73" borderId="5" xfId="0" applyNumberFormat="1" applyFont="1" applyFill="1" applyBorder="1" applyAlignment="1">
      <alignment horizontal="right" wrapText="1"/>
    </xf>
    <xf numFmtId="172" fontId="23" fillId="0" borderId="5" xfId="0" applyNumberFormat="1" applyFont="1" applyFill="1" applyBorder="1" applyAlignment="1">
      <alignment horizontal="right" wrapText="1"/>
    </xf>
    <xf numFmtId="172" fontId="21" fillId="0" borderId="5" xfId="0" applyNumberFormat="1" applyFont="1" applyFill="1" applyBorder="1" applyAlignment="1">
      <alignment horizontal="right" wrapText="1"/>
    </xf>
    <xf numFmtId="0" fontId="20" fillId="73" borderId="5" xfId="0" applyFont="1" applyFill="1" applyBorder="1" applyAlignment="1">
      <alignment horizontal="center" wrapText="1"/>
    </xf>
    <xf numFmtId="0" fontId="20" fillId="0" borderId="5" xfId="0" applyFont="1" applyFill="1" applyBorder="1" applyAlignment="1">
      <alignment horizontal="center" wrapText="1"/>
    </xf>
    <xf numFmtId="0" fontId="20" fillId="73" borderId="5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 wrapText="1"/>
    </xf>
    <xf numFmtId="172" fontId="22" fillId="73" borderId="0" xfId="0" applyNumberFormat="1" applyFont="1" applyFill="1" applyAlignment="1">
      <alignment horizontal="right" wrapText="1"/>
    </xf>
    <xf numFmtId="172" fontId="22" fillId="0" borderId="0" xfId="0" applyNumberFormat="1" applyFont="1" applyFill="1" applyAlignment="1">
      <alignment horizontal="right" wrapText="1"/>
    </xf>
    <xf numFmtId="0" fontId="29" fillId="0" borderId="0" xfId="0" applyFont="1" applyFill="1"/>
    <xf numFmtId="0" fontId="29" fillId="0" borderId="0" xfId="0" applyFont="1"/>
    <xf numFmtId="0" fontId="19" fillId="60" borderId="0" xfId="0" applyFont="1" applyFill="1"/>
    <xf numFmtId="0" fontId="30" fillId="0" borderId="0" xfId="0" applyFont="1" applyFill="1" applyAlignment="1">
      <alignment horizontal="left" wrapText="1"/>
    </xf>
    <xf numFmtId="172" fontId="30" fillId="73" borderId="0" xfId="0" applyNumberFormat="1" applyFont="1" applyFill="1" applyAlignment="1">
      <alignment horizontal="right" wrapText="1"/>
    </xf>
    <xf numFmtId="172" fontId="30" fillId="0" borderId="0" xfId="0" applyNumberFormat="1" applyFont="1" applyFill="1" applyAlignment="1">
      <alignment horizontal="right" wrapText="1"/>
    </xf>
    <xf numFmtId="0" fontId="31" fillId="0" borderId="0" xfId="0" applyFont="1" applyFill="1"/>
    <xf numFmtId="0" fontId="31" fillId="0" borderId="0" xfId="0" applyFont="1"/>
    <xf numFmtId="3" fontId="33" fillId="0" borderId="0" xfId="2007" applyNumberFormat="1" applyFont="1" applyAlignment="1">
      <alignment vertical="center"/>
    </xf>
    <xf numFmtId="0" fontId="32" fillId="0" borderId="0" xfId="2009" applyAlignment="1">
      <alignment vertical="center"/>
    </xf>
    <xf numFmtId="0" fontId="32" fillId="0" borderId="0" xfId="2009" applyFill="1" applyBorder="1" applyAlignment="1">
      <alignment vertical="center"/>
    </xf>
    <xf numFmtId="0" fontId="8" fillId="0" borderId="0" xfId="2009" applyNumberFormat="1" applyFont="1" applyFill="1" applyAlignment="1">
      <alignment horizontal="center" vertical="center"/>
    </xf>
    <xf numFmtId="177" fontId="8" fillId="57" borderId="0" xfId="2009" applyNumberFormat="1" applyFont="1" applyFill="1" applyAlignment="1">
      <alignment horizontal="right" vertical="center"/>
    </xf>
    <xf numFmtId="178" fontId="8" fillId="57" borderId="0" xfId="2009" quotePrefix="1" applyNumberFormat="1" applyFont="1" applyFill="1" applyAlignment="1">
      <alignment horizontal="center" vertical="center"/>
    </xf>
    <xf numFmtId="177" fontId="34" fillId="0" borderId="0" xfId="2009" applyNumberFormat="1" applyFont="1" applyAlignment="1">
      <alignment vertical="center"/>
    </xf>
    <xf numFmtId="177" fontId="32" fillId="0" borderId="0" xfId="2009" applyNumberFormat="1" applyAlignment="1">
      <alignment vertical="center"/>
    </xf>
    <xf numFmtId="0" fontId="32" fillId="0" borderId="0" xfId="2009" applyFill="1" applyAlignment="1">
      <alignment vertical="center"/>
    </xf>
    <xf numFmtId="177" fontId="29" fillId="0" borderId="6" xfId="2009" applyNumberFormat="1" applyFont="1" applyBorder="1" applyAlignment="1">
      <alignment vertical="center"/>
    </xf>
    <xf numFmtId="3" fontId="33" fillId="0" borderId="0" xfId="2007" applyNumberFormat="1" applyFont="1" applyFill="1" applyAlignment="1">
      <alignment vertical="center"/>
    </xf>
    <xf numFmtId="0" fontId="32" fillId="0" borderId="0" xfId="2009" applyBorder="1" applyAlignment="1">
      <alignment vertical="center"/>
    </xf>
    <xf numFmtId="0" fontId="36" fillId="0" borderId="0" xfId="2009" applyFont="1" applyAlignment="1">
      <alignment vertical="center"/>
    </xf>
    <xf numFmtId="177" fontId="13" fillId="74" borderId="0" xfId="2009" applyNumberFormat="1" applyFont="1" applyFill="1" applyBorder="1" applyAlignment="1">
      <alignment vertical="center"/>
    </xf>
    <xf numFmtId="0" fontId="36" fillId="0" borderId="0" xfId="2009" applyFont="1" applyFill="1" applyBorder="1" applyAlignment="1">
      <alignment vertical="center"/>
    </xf>
    <xf numFmtId="3" fontId="32" fillId="0" borderId="0" xfId="2009" applyNumberFormat="1" applyFill="1" applyBorder="1" applyAlignment="1">
      <alignment vertical="center"/>
    </xf>
    <xf numFmtId="172" fontId="9" fillId="0" borderId="0" xfId="2012" applyNumberFormat="1" applyFont="1" applyFill="1" applyBorder="1" applyAlignment="1">
      <alignment horizontal="right" vertical="center" wrapText="1"/>
    </xf>
    <xf numFmtId="172" fontId="9" fillId="0" borderId="0" xfId="2012" applyNumberFormat="1" applyFont="1" applyFill="1" applyAlignment="1">
      <alignment horizontal="right" vertical="center" wrapText="1"/>
    </xf>
    <xf numFmtId="0" fontId="36" fillId="0" borderId="0" xfId="2009" applyFont="1" applyFill="1" applyAlignment="1">
      <alignment vertical="center"/>
    </xf>
    <xf numFmtId="174" fontId="32" fillId="0" borderId="0" xfId="1236" applyNumberFormat="1" applyFont="1" applyFill="1" applyBorder="1" applyAlignment="1">
      <alignment vertical="center"/>
    </xf>
    <xf numFmtId="179" fontId="20" fillId="0" borderId="0" xfId="2012" applyNumberFormat="1" applyFont="1" applyFill="1" applyBorder="1" applyAlignment="1">
      <alignment horizontal="right" vertical="center"/>
    </xf>
    <xf numFmtId="173" fontId="20" fillId="0" borderId="0" xfId="2012" applyNumberFormat="1" applyFont="1" applyFill="1" applyBorder="1" applyAlignment="1">
      <alignment horizontal="right" vertical="center"/>
    </xf>
    <xf numFmtId="0" fontId="32" fillId="0" borderId="54" xfId="2009" applyBorder="1" applyAlignment="1">
      <alignment vertical="center"/>
    </xf>
    <xf numFmtId="0" fontId="32" fillId="0" borderId="54" xfId="2009" applyFill="1" applyBorder="1" applyAlignment="1">
      <alignment vertical="center"/>
    </xf>
    <xf numFmtId="0" fontId="32" fillId="60" borderId="0" xfId="2009" applyFill="1" applyAlignment="1">
      <alignment vertical="center"/>
    </xf>
    <xf numFmtId="0" fontId="0" fillId="75" borderId="0" xfId="0" applyFill="1"/>
    <xf numFmtId="0" fontId="7" fillId="75" borderId="0" xfId="0" applyFont="1" applyFill="1"/>
    <xf numFmtId="172" fontId="4" fillId="49" borderId="0" xfId="0" applyNumberFormat="1" applyFont="1" applyFill="1" applyAlignment="1">
      <alignment horizontal="right" wrapText="1"/>
    </xf>
    <xf numFmtId="172" fontId="11" fillId="0" borderId="0" xfId="0" applyNumberFormat="1" applyFont="1"/>
    <xf numFmtId="0" fontId="13" fillId="75" borderId="0" xfId="0" applyFont="1" applyFill="1"/>
    <xf numFmtId="172" fontId="4" fillId="60" borderId="0" xfId="0" applyNumberFormat="1" applyFont="1" applyFill="1" applyAlignment="1">
      <alignment horizontal="right" wrapText="1"/>
    </xf>
    <xf numFmtId="0" fontId="38" fillId="0" borderId="0" xfId="0" applyFont="1" applyFill="1" applyAlignment="1">
      <alignment vertical="top"/>
    </xf>
    <xf numFmtId="0" fontId="39" fillId="0" borderId="0" xfId="0" applyFont="1" applyFill="1"/>
    <xf numFmtId="0" fontId="39" fillId="0" borderId="0" xfId="0" applyFont="1"/>
    <xf numFmtId="15" fontId="40" fillId="0" borderId="26" xfId="0" quotePrefix="1" applyNumberFormat="1" applyFont="1" applyFill="1" applyBorder="1" applyAlignment="1">
      <alignment horizontal="left" indent="1"/>
    </xf>
    <xf numFmtId="0" fontId="40" fillId="0" borderId="26" xfId="0" applyFont="1" applyFill="1" applyBorder="1" applyAlignment="1">
      <alignment horizontal="center"/>
    </xf>
    <xf numFmtId="0" fontId="40" fillId="0" borderId="53" xfId="0" applyFont="1" applyFill="1" applyBorder="1" applyAlignment="1">
      <alignment horizontal="center"/>
    </xf>
    <xf numFmtId="0" fontId="40" fillId="0" borderId="0" xfId="0" applyFont="1" applyFill="1" applyAlignment="1">
      <alignment horizontal="center"/>
    </xf>
    <xf numFmtId="0" fontId="41" fillId="0" borderId="5" xfId="0" applyFont="1" applyFill="1" applyBorder="1" applyAlignment="1">
      <alignment horizontal="right" wrapText="1"/>
    </xf>
    <xf numFmtId="172" fontId="41" fillId="0" borderId="0" xfId="0" applyNumberFormat="1" applyFont="1" applyFill="1" applyAlignment="1">
      <alignment horizontal="right" wrapText="1"/>
    </xf>
    <xf numFmtId="172" fontId="41" fillId="49" borderId="0" xfId="0" applyNumberFormat="1" applyFont="1" applyFill="1" applyAlignment="1">
      <alignment horizontal="right" wrapText="1"/>
    </xf>
    <xf numFmtId="172" fontId="40" fillId="0" borderId="0" xfId="0" applyNumberFormat="1" applyFont="1" applyFill="1" applyAlignment="1">
      <alignment horizontal="right" wrapText="1"/>
    </xf>
    <xf numFmtId="172" fontId="40" fillId="49" borderId="0" xfId="0" applyNumberFormat="1" applyFont="1" applyFill="1" applyAlignment="1">
      <alignment horizontal="right" wrapText="1"/>
    </xf>
    <xf numFmtId="172" fontId="41" fillId="0" borderId="5" xfId="0" applyNumberFormat="1" applyFont="1" applyFill="1" applyBorder="1" applyAlignment="1">
      <alignment horizontal="right" wrapText="1"/>
    </xf>
    <xf numFmtId="172" fontId="41" fillId="49" borderId="5" xfId="0" applyNumberFormat="1" applyFont="1" applyFill="1" applyBorder="1" applyAlignment="1">
      <alignment horizontal="right" wrapText="1"/>
    </xf>
    <xf numFmtId="172" fontId="40" fillId="0" borderId="5" xfId="0" applyNumberFormat="1" applyFont="1" applyFill="1" applyBorder="1" applyAlignment="1">
      <alignment horizontal="right" wrapText="1"/>
    </xf>
    <xf numFmtId="172" fontId="40" fillId="49" borderId="5" xfId="0" applyNumberFormat="1" applyFont="1" applyFill="1" applyBorder="1" applyAlignment="1">
      <alignment horizontal="right" wrapText="1"/>
    </xf>
    <xf numFmtId="0" fontId="34" fillId="0" borderId="0" xfId="0" applyFont="1"/>
    <xf numFmtId="172" fontId="41" fillId="57" borderId="0" xfId="0" applyNumberFormat="1" applyFont="1" applyFill="1" applyAlignment="1">
      <alignment horizontal="right" wrapText="1"/>
    </xf>
    <xf numFmtId="0" fontId="43" fillId="0" borderId="0" xfId="0" applyFont="1"/>
    <xf numFmtId="175" fontId="6" fillId="0" borderId="0" xfId="0" applyNumberFormat="1" applyFont="1" applyFill="1" applyAlignment="1">
      <alignment horizontal="right" wrapText="1"/>
    </xf>
    <xf numFmtId="177" fontId="13" fillId="0" borderId="0" xfId="2009" applyNumberFormat="1" applyFont="1" applyFill="1" applyAlignment="1">
      <alignment vertical="center"/>
    </xf>
    <xf numFmtId="177" fontId="32" fillId="0" borderId="0" xfId="2009" applyNumberFormat="1" applyFill="1" applyAlignment="1">
      <alignment vertical="center"/>
    </xf>
    <xf numFmtId="0" fontId="48" fillId="0" borderId="0" xfId="2009" applyFont="1" applyAlignment="1">
      <alignment vertical="center"/>
    </xf>
    <xf numFmtId="0" fontId="50" fillId="0" borderId="0" xfId="2009" applyFont="1" applyFill="1" applyAlignment="1">
      <alignment vertical="center"/>
    </xf>
    <xf numFmtId="0" fontId="50" fillId="0" borderId="0" xfId="2009" applyFont="1" applyAlignment="1">
      <alignment vertical="center"/>
    </xf>
    <xf numFmtId="0" fontId="51" fillId="0" borderId="0" xfId="2009" applyNumberFormat="1" applyFont="1" applyFill="1" applyAlignment="1">
      <alignment horizontal="center" vertical="center"/>
    </xf>
    <xf numFmtId="178" fontId="51" fillId="57" borderId="0" xfId="2009" quotePrefix="1" applyNumberFormat="1" applyFont="1" applyFill="1" applyAlignment="1">
      <alignment horizontal="center" vertical="center"/>
    </xf>
    <xf numFmtId="177" fontId="49" fillId="0" borderId="0" xfId="2009" applyNumberFormat="1" applyFont="1" applyAlignment="1">
      <alignment vertical="center"/>
    </xf>
    <xf numFmtId="0" fontId="51" fillId="57" borderId="0" xfId="2009" applyNumberFormat="1" applyFont="1" applyFill="1" applyAlignment="1">
      <alignment horizontal="center" vertical="center"/>
    </xf>
    <xf numFmtId="177" fontId="50" fillId="0" borderId="0" xfId="2009" applyNumberFormat="1" applyFont="1" applyAlignment="1">
      <alignment vertical="center"/>
    </xf>
    <xf numFmtId="177" fontId="37" fillId="57" borderId="0" xfId="2009" applyNumberFormat="1" applyFont="1" applyFill="1" applyAlignment="1">
      <alignment vertical="center"/>
    </xf>
    <xf numFmtId="177" fontId="51" fillId="57" borderId="0" xfId="2009" applyNumberFormat="1" applyFont="1" applyFill="1" applyAlignment="1">
      <alignment vertical="center"/>
    </xf>
    <xf numFmtId="177" fontId="50" fillId="0" borderId="0" xfId="2009" applyNumberFormat="1" applyFont="1" applyFill="1" applyAlignment="1">
      <alignment vertical="center"/>
    </xf>
    <xf numFmtId="177" fontId="47" fillId="0" borderId="6" xfId="2009" applyNumberFormat="1" applyFont="1" applyBorder="1" applyAlignment="1">
      <alignment vertical="center"/>
    </xf>
    <xf numFmtId="177" fontId="46" fillId="74" borderId="49" xfId="2009" quotePrefix="1" applyNumberFormat="1" applyFont="1" applyFill="1" applyBorder="1" applyAlignment="1">
      <alignment horizontal="right" vertical="center"/>
    </xf>
    <xf numFmtId="0" fontId="50" fillId="0" borderId="0" xfId="2009" applyFont="1" applyFill="1" applyBorder="1" applyAlignment="1">
      <alignment vertical="center"/>
    </xf>
    <xf numFmtId="0" fontId="50" fillId="74" borderId="0" xfId="2009" applyFont="1" applyFill="1" applyBorder="1" applyAlignment="1">
      <alignment vertical="center"/>
    </xf>
    <xf numFmtId="3" fontId="50" fillId="59" borderId="0" xfId="2009" applyNumberFormat="1" applyFont="1" applyFill="1" applyAlignment="1">
      <alignment vertical="center"/>
    </xf>
    <xf numFmtId="3" fontId="50" fillId="74" borderId="0" xfId="2009" applyNumberFormat="1" applyFont="1" applyFill="1" applyAlignment="1">
      <alignment vertical="center"/>
    </xf>
    <xf numFmtId="3" fontId="50" fillId="0" borderId="0" xfId="2009" applyNumberFormat="1" applyFont="1" applyAlignment="1">
      <alignment vertical="center"/>
    </xf>
    <xf numFmtId="3" fontId="52" fillId="0" borderId="0" xfId="2009" applyNumberFormat="1" applyFont="1" applyFill="1" applyAlignment="1">
      <alignment vertical="center"/>
    </xf>
    <xf numFmtId="3" fontId="52" fillId="59" borderId="0" xfId="2009" applyNumberFormat="1" applyFont="1" applyFill="1" applyAlignment="1">
      <alignment vertical="center"/>
    </xf>
    <xf numFmtId="3" fontId="52" fillId="74" borderId="0" xfId="2009" applyNumberFormat="1" applyFont="1" applyFill="1" applyAlignment="1">
      <alignment vertical="center"/>
    </xf>
    <xf numFmtId="3" fontId="52" fillId="0" borderId="0" xfId="2009" applyNumberFormat="1" applyFont="1" applyAlignment="1">
      <alignment vertical="center"/>
    </xf>
    <xf numFmtId="0" fontId="50" fillId="0" borderId="54" xfId="2009" applyFont="1" applyBorder="1" applyAlignment="1">
      <alignment vertical="center"/>
    </xf>
    <xf numFmtId="174" fontId="50" fillId="0" borderId="0" xfId="1236" applyNumberFormat="1" applyFont="1"/>
    <xf numFmtId="171" fontId="50" fillId="0" borderId="54" xfId="1236" applyFont="1" applyBorder="1"/>
    <xf numFmtId="177" fontId="13" fillId="0" borderId="0" xfId="2009" applyNumberFormat="1" applyFont="1" applyFill="1" applyBorder="1" applyAlignment="1">
      <alignment vertical="center"/>
    </xf>
    <xf numFmtId="177" fontId="53" fillId="0" borderId="0" xfId="0" applyNumberFormat="1" applyFont="1"/>
    <xf numFmtId="3" fontId="54" fillId="59" borderId="0" xfId="2009" applyNumberFormat="1" applyFont="1" applyFill="1" applyAlignment="1">
      <alignment vertical="center"/>
    </xf>
    <xf numFmtId="3" fontId="54" fillId="74" borderId="0" xfId="2009" applyNumberFormat="1" applyFont="1" applyFill="1" applyAlignment="1">
      <alignment vertical="center"/>
    </xf>
    <xf numFmtId="3" fontId="54" fillId="0" borderId="0" xfId="2009" applyNumberFormat="1" applyFont="1" applyAlignment="1">
      <alignment vertical="center"/>
    </xf>
    <xf numFmtId="0" fontId="54" fillId="0" borderId="0" xfId="2009" applyFont="1" applyFill="1" applyBorder="1" applyAlignment="1">
      <alignment vertical="center"/>
    </xf>
    <xf numFmtId="0" fontId="54" fillId="0" borderId="0" xfId="2009" applyFont="1" applyAlignment="1">
      <alignment vertical="center"/>
    </xf>
    <xf numFmtId="177" fontId="15" fillId="0" borderId="0" xfId="0" applyNumberFormat="1" applyFont="1" applyBorder="1"/>
    <xf numFmtId="177" fontId="16" fillId="0" borderId="0" xfId="0" applyNumberFormat="1" applyFont="1"/>
    <xf numFmtId="177" fontId="16" fillId="0" borderId="0" xfId="0" applyNumberFormat="1" applyFont="1" applyBorder="1"/>
    <xf numFmtId="177" fontId="53" fillId="0" borderId="0" xfId="0" applyNumberFormat="1" applyFont="1" applyFill="1" applyBorder="1"/>
    <xf numFmtId="177" fontId="15" fillId="0" borderId="0" xfId="0" applyNumberFormat="1" applyFont="1"/>
    <xf numFmtId="177" fontId="16" fillId="0" borderId="0" xfId="0" applyNumberFormat="1" applyFont="1" applyFill="1" applyBorder="1"/>
    <xf numFmtId="177" fontId="16" fillId="74" borderId="0" xfId="2009" applyNumberFormat="1" applyFont="1" applyFill="1" applyBorder="1" applyAlignment="1">
      <alignment vertical="center"/>
    </xf>
    <xf numFmtId="0" fontId="43" fillId="0" borderId="0" xfId="0" applyFont="1" applyFill="1"/>
    <xf numFmtId="0" fontId="55" fillId="0" borderId="0" xfId="0" applyFont="1" applyFill="1" applyAlignment="1">
      <alignment wrapText="1"/>
    </xf>
    <xf numFmtId="0" fontId="43" fillId="0" borderId="0" xfId="0" applyFont="1" applyFill="1" applyAlignment="1">
      <alignment wrapText="1"/>
    </xf>
    <xf numFmtId="0" fontId="55" fillId="0" borderId="0" xfId="0" applyFont="1" applyFill="1"/>
    <xf numFmtId="180" fontId="43" fillId="0" borderId="0" xfId="0" applyNumberFormat="1" applyFont="1"/>
    <xf numFmtId="0" fontId="35" fillId="0" borderId="0" xfId="0" applyFont="1" applyFill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Fill="1" applyAlignment="1">
      <alignment vertical="center" wrapText="1"/>
    </xf>
    <xf numFmtId="185" fontId="13" fillId="0" borderId="0" xfId="0" applyNumberFormat="1" applyFont="1"/>
    <xf numFmtId="177" fontId="0" fillId="0" borderId="0" xfId="0" applyNumberFormat="1"/>
    <xf numFmtId="0" fontId="13" fillId="0" borderId="0" xfId="0" applyNumberFormat="1" applyFont="1" applyFill="1" applyAlignment="1">
      <alignment horizontal="center"/>
    </xf>
    <xf numFmtId="177" fontId="44" fillId="0" borderId="0" xfId="0" applyNumberFormat="1" applyFont="1"/>
    <xf numFmtId="177" fontId="57" fillId="57" borderId="0" xfId="0" applyNumberFormat="1" applyFont="1" applyFill="1" applyAlignment="1">
      <alignment horizontal="right"/>
    </xf>
    <xf numFmtId="0" fontId="13" fillId="57" borderId="0" xfId="0" applyNumberFormat="1" applyFont="1" applyFill="1" applyAlignment="1">
      <alignment horizontal="center"/>
    </xf>
    <xf numFmtId="178" fontId="13" fillId="57" borderId="0" xfId="0" quotePrefix="1" applyNumberFormat="1" applyFont="1" applyFill="1" applyAlignment="1">
      <alignment horizontal="center"/>
    </xf>
    <xf numFmtId="0" fontId="45" fillId="0" borderId="0" xfId="0" applyNumberFormat="1" applyFont="1" applyFill="1" applyAlignment="1">
      <alignment horizontal="center"/>
    </xf>
    <xf numFmtId="177" fontId="44" fillId="0" borderId="0" xfId="0" applyNumberFormat="1" applyFont="1" applyFill="1"/>
    <xf numFmtId="177" fontId="35" fillId="57" borderId="0" xfId="0" applyNumberFormat="1" applyFont="1" applyFill="1"/>
    <xf numFmtId="177" fontId="13" fillId="57" borderId="0" xfId="0" applyNumberFormat="1" applyFont="1" applyFill="1"/>
    <xf numFmtId="177" fontId="29" fillId="0" borderId="6" xfId="0" applyNumberFormat="1" applyFont="1" applyBorder="1" applyAlignment="1">
      <alignment vertical="center"/>
    </xf>
    <xf numFmtId="177" fontId="20" fillId="0" borderId="6" xfId="0" applyNumberFormat="1" applyFont="1" applyBorder="1" applyAlignment="1">
      <alignment vertical="center"/>
    </xf>
    <xf numFmtId="177" fontId="19" fillId="76" borderId="49" xfId="0" quotePrefix="1" applyNumberFormat="1" applyFont="1" applyFill="1" applyBorder="1" applyAlignment="1">
      <alignment horizontal="right" vertical="center"/>
    </xf>
    <xf numFmtId="177" fontId="20" fillId="0" borderId="0" xfId="0" applyNumberFormat="1" applyFont="1" applyBorder="1"/>
    <xf numFmtId="177" fontId="20" fillId="0" borderId="0" xfId="0" applyNumberFormat="1" applyFont="1"/>
    <xf numFmtId="177" fontId="20" fillId="76" borderId="0" xfId="0" applyNumberFormat="1" applyFont="1" applyFill="1"/>
    <xf numFmtId="177" fontId="0" fillId="0" borderId="0" xfId="0" applyNumberFormat="1" applyBorder="1"/>
    <xf numFmtId="177" fontId="13" fillId="76" borderId="0" xfId="0" applyNumberFormat="1" applyFont="1" applyFill="1" applyBorder="1"/>
    <xf numFmtId="177" fontId="23" fillId="59" borderId="0" xfId="0" applyNumberFormat="1" applyFont="1" applyFill="1" applyBorder="1"/>
    <xf numFmtId="177" fontId="23" fillId="76" borderId="0" xfId="0" applyNumberFormat="1" applyFont="1" applyFill="1"/>
    <xf numFmtId="177" fontId="23" fillId="0" borderId="0" xfId="0" applyNumberFormat="1" applyFont="1" applyBorder="1"/>
    <xf numFmtId="0" fontId="35" fillId="0" borderId="0" xfId="0" applyFont="1" applyBorder="1"/>
    <xf numFmtId="177" fontId="20" fillId="59" borderId="0" xfId="0" applyNumberFormat="1" applyFont="1" applyFill="1" applyBorder="1"/>
    <xf numFmtId="177" fontId="19" fillId="0" borderId="0" xfId="0" applyNumberFormat="1" applyFont="1" applyBorder="1"/>
    <xf numFmtId="177" fontId="13" fillId="0" borderId="0" xfId="0" applyNumberFormat="1" applyFont="1"/>
    <xf numFmtId="177" fontId="20" fillId="0" borderId="0" xfId="0" applyNumberFormat="1" applyFont="1" applyFill="1" applyBorder="1"/>
    <xf numFmtId="177" fontId="19" fillId="0" borderId="0" xfId="0" applyNumberFormat="1" applyFont="1" applyFill="1" applyBorder="1" applyAlignment="1">
      <alignment horizontal="left" indent="2"/>
    </xf>
    <xf numFmtId="177" fontId="19" fillId="0" borderId="0" xfId="0" applyNumberFormat="1" applyFont="1" applyBorder="1" applyAlignment="1">
      <alignment horizontal="left" indent="2"/>
    </xf>
    <xf numFmtId="177" fontId="20" fillId="0" borderId="0" xfId="0" applyNumberFormat="1" applyFont="1" applyBorder="1" applyAlignment="1">
      <alignment horizontal="left" indent="2"/>
    </xf>
    <xf numFmtId="177" fontId="0" fillId="0" borderId="0" xfId="0" applyNumberFormat="1" applyFill="1" applyBorder="1"/>
    <xf numFmtId="177" fontId="13" fillId="0" borderId="0" xfId="0" applyNumberFormat="1" applyFont="1" applyBorder="1"/>
    <xf numFmtId="177" fontId="19" fillId="0" borderId="26" xfId="0" applyNumberFormat="1" applyFont="1" applyBorder="1"/>
    <xf numFmtId="177" fontId="29" fillId="0" borderId="0" xfId="0" quotePrefix="1" applyNumberFormat="1" applyFont="1"/>
    <xf numFmtId="177" fontId="0" fillId="0" borderId="0" xfId="0" applyNumberFormat="1" applyFill="1"/>
    <xf numFmtId="177" fontId="13" fillId="0" borderId="26" xfId="0" applyNumberFormat="1" applyFont="1" applyBorder="1"/>
    <xf numFmtId="0" fontId="8" fillId="0" borderId="0" xfId="0" applyNumberFormat="1" applyFont="1" applyFill="1" applyAlignment="1">
      <alignment horizontal="center"/>
    </xf>
    <xf numFmtId="177" fontId="8" fillId="57" borderId="0" xfId="0" applyNumberFormat="1" applyFont="1" applyFill="1" applyAlignment="1">
      <alignment horizontal="right"/>
    </xf>
    <xf numFmtId="0" fontId="8" fillId="57" borderId="0" xfId="0" applyNumberFormat="1" applyFont="1" applyFill="1" applyAlignment="1">
      <alignment horizontal="center"/>
    </xf>
    <xf numFmtId="178" fontId="8" fillId="57" borderId="0" xfId="0" quotePrefix="1" applyNumberFormat="1" applyFont="1" applyFill="1" applyAlignment="1">
      <alignment horizontal="center"/>
    </xf>
    <xf numFmtId="177" fontId="34" fillId="0" borderId="0" xfId="0" applyNumberFormat="1" applyFont="1"/>
    <xf numFmtId="177" fontId="35" fillId="0" borderId="0" xfId="0" applyNumberFormat="1" applyFont="1" applyFill="1"/>
    <xf numFmtId="177" fontId="19" fillId="73" borderId="49" xfId="0" quotePrefix="1" applyNumberFormat="1" applyFont="1" applyFill="1" applyBorder="1" applyAlignment="1">
      <alignment horizontal="right" vertical="center"/>
    </xf>
    <xf numFmtId="177" fontId="20" fillId="73" borderId="0" xfId="0" applyNumberFormat="1" applyFont="1" applyFill="1"/>
    <xf numFmtId="177" fontId="13" fillId="73" borderId="0" xfId="0" applyNumberFormat="1" applyFont="1" applyFill="1" applyBorder="1"/>
    <xf numFmtId="177" fontId="58" fillId="0" borderId="0" xfId="0" applyNumberFormat="1" applyFont="1" applyFill="1"/>
    <xf numFmtId="177" fontId="19" fillId="73" borderId="0" xfId="0" applyNumberFormat="1" applyFont="1" applyFill="1" applyBorder="1"/>
    <xf numFmtId="0" fontId="59" fillId="0" borderId="0" xfId="0" applyFont="1"/>
    <xf numFmtId="177" fontId="59" fillId="73" borderId="0" xfId="0" applyNumberFormat="1" applyFont="1" applyFill="1" applyBorder="1"/>
    <xf numFmtId="177" fontId="59" fillId="0" borderId="0" xfId="0" applyNumberFormat="1" applyFont="1"/>
    <xf numFmtId="0" fontId="42" fillId="0" borderId="0" xfId="0" applyFont="1"/>
    <xf numFmtId="177" fontId="42" fillId="73" borderId="0" xfId="0" applyNumberFormat="1" applyFont="1" applyFill="1" applyBorder="1"/>
    <xf numFmtId="177" fontId="42" fillId="0" borderId="0" xfId="0" applyNumberFormat="1" applyFont="1"/>
    <xf numFmtId="0" fontId="42" fillId="0" borderId="0" xfId="0" applyFont="1" applyFill="1"/>
    <xf numFmtId="177" fontId="42" fillId="0" borderId="0" xfId="0" applyNumberFormat="1" applyFont="1" applyFill="1" applyBorder="1"/>
    <xf numFmtId="177" fontId="42" fillId="0" borderId="0" xfId="0" applyNumberFormat="1" applyFont="1" applyFill="1"/>
    <xf numFmtId="177" fontId="20" fillId="0" borderId="0" xfId="0" applyNumberFormat="1" applyFont="1" applyFill="1"/>
    <xf numFmtId="0" fontId="60" fillId="0" borderId="0" xfId="0" applyFont="1"/>
    <xf numFmtId="177" fontId="60" fillId="73" borderId="26" xfId="0" applyNumberFormat="1" applyFont="1" applyFill="1" applyBorder="1"/>
    <xf numFmtId="177" fontId="60" fillId="0" borderId="0" xfId="0" applyNumberFormat="1" applyFont="1"/>
    <xf numFmtId="0" fontId="55" fillId="0" borderId="0" xfId="0" applyFont="1"/>
    <xf numFmtId="0" fontId="43" fillId="0" borderId="0" xfId="0" applyFont="1" applyAlignment="1">
      <alignment vertical="center"/>
    </xf>
    <xf numFmtId="0" fontId="56" fillId="0" borderId="0" xfId="2004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5" fontId="19" fillId="0" borderId="0" xfId="0" quotePrefix="1" applyNumberFormat="1" applyFont="1" applyFill="1" applyBorder="1" applyAlignment="1">
      <alignment horizontal="centerContinuous" vertical="center"/>
    </xf>
    <xf numFmtId="186" fontId="20" fillId="0" borderId="0" xfId="0" applyNumberFormat="1" applyFont="1" applyFill="1" applyAlignment="1">
      <alignment horizontal="right" vertical="center"/>
    </xf>
    <xf numFmtId="186" fontId="19" fillId="0" borderId="0" xfId="0" applyNumberFormat="1" applyFont="1" applyFill="1" applyAlignment="1">
      <alignment horizontal="right" vertical="center"/>
    </xf>
    <xf numFmtId="0" fontId="80" fillId="0" borderId="0" xfId="1546" applyFont="1" applyAlignment="1">
      <alignment vertical="center"/>
    </xf>
    <xf numFmtId="0" fontId="7" fillId="0" borderId="0" xfId="1546" applyAlignment="1">
      <alignment vertical="center"/>
    </xf>
    <xf numFmtId="0" fontId="7" fillId="60" borderId="0" xfId="1546" applyFill="1" applyAlignment="1">
      <alignment vertical="center" wrapText="1"/>
    </xf>
    <xf numFmtId="0" fontId="13" fillId="60" borderId="0" xfId="1546" applyFont="1" applyFill="1" applyAlignment="1">
      <alignment vertical="center" wrapText="1"/>
    </xf>
    <xf numFmtId="0" fontId="13" fillId="0" borderId="0" xfId="1546" applyFont="1" applyAlignment="1">
      <alignment horizontal="center" vertical="center" wrapText="1"/>
    </xf>
    <xf numFmtId="0" fontId="13" fillId="0" borderId="0" xfId="1546" applyFont="1" applyAlignment="1">
      <alignment vertical="center" wrapText="1"/>
    </xf>
    <xf numFmtId="0" fontId="7" fillId="0" borderId="0" xfId="1546" applyAlignment="1">
      <alignment vertical="center" wrapText="1"/>
    </xf>
    <xf numFmtId="0" fontId="19" fillId="0" borderId="0" xfId="1546" quotePrefix="1" applyFont="1" applyFill="1" applyBorder="1" applyAlignment="1">
      <alignment horizontal="left" vertical="center" wrapText="1"/>
    </xf>
    <xf numFmtId="173" fontId="19" fillId="0" borderId="0" xfId="1546" applyNumberFormat="1" applyFont="1" applyFill="1" applyBorder="1" applyAlignment="1">
      <alignment horizontal="right" vertical="center" wrapText="1"/>
    </xf>
    <xf numFmtId="0" fontId="20" fillId="0" borderId="0" xfId="1546" applyFont="1" applyAlignment="1">
      <alignment horizontal="right" vertical="center"/>
    </xf>
    <xf numFmtId="0" fontId="19" fillId="60" borderId="0" xfId="1546" quotePrefix="1" applyFont="1" applyFill="1" applyBorder="1" applyAlignment="1">
      <alignment horizontal="left" vertical="center" wrapText="1"/>
    </xf>
    <xf numFmtId="173" fontId="19" fillId="60" borderId="0" xfId="1546" applyNumberFormat="1" applyFont="1" applyFill="1" applyBorder="1" applyAlignment="1">
      <alignment horizontal="right" vertical="center" wrapText="1"/>
    </xf>
    <xf numFmtId="181" fontId="13" fillId="0" borderId="0" xfId="1546" applyNumberFormat="1" applyFont="1" applyAlignment="1">
      <alignment vertical="center"/>
    </xf>
    <xf numFmtId="183" fontId="13" fillId="0" borderId="0" xfId="1546" applyNumberFormat="1" applyFont="1" applyAlignment="1">
      <alignment vertical="center"/>
    </xf>
    <xf numFmtId="0" fontId="20" fillId="0" borderId="0" xfId="1546" applyFont="1" applyFill="1" applyAlignment="1">
      <alignment horizontal="right" vertical="center"/>
    </xf>
    <xf numFmtId="0" fontId="20" fillId="60" borderId="0" xfId="1546" applyFont="1" applyFill="1" applyBorder="1" applyAlignment="1">
      <alignment horizontal="left" vertical="center" wrapText="1"/>
    </xf>
    <xf numFmtId="184" fontId="20" fillId="60" borderId="0" xfId="1241" applyNumberFormat="1" applyFont="1" applyFill="1" applyBorder="1" applyAlignment="1">
      <alignment horizontal="right" vertical="center" wrapText="1"/>
    </xf>
    <xf numFmtId="181" fontId="7" fillId="0" borderId="0" xfId="1546" applyNumberFormat="1" applyAlignment="1">
      <alignment vertical="center"/>
    </xf>
    <xf numFmtId="183" fontId="7" fillId="0" borderId="0" xfId="1546" applyNumberFormat="1" applyAlignment="1">
      <alignment vertical="center"/>
    </xf>
    <xf numFmtId="0" fontId="20" fillId="0" borderId="0" xfId="1546" applyFont="1" applyFill="1" applyBorder="1" applyAlignment="1">
      <alignment horizontal="left" vertical="center" wrapText="1"/>
    </xf>
    <xf numFmtId="184" fontId="20" fillId="0" borderId="0" xfId="1241" applyNumberFormat="1" applyFont="1" applyFill="1" applyBorder="1" applyAlignment="1">
      <alignment horizontal="right" vertical="center" wrapText="1"/>
    </xf>
    <xf numFmtId="173" fontId="20" fillId="0" borderId="0" xfId="1241" applyNumberFormat="1" applyFont="1" applyFill="1" applyBorder="1" applyAlignment="1">
      <alignment horizontal="center" vertical="center" wrapText="1"/>
    </xf>
    <xf numFmtId="0" fontId="20" fillId="0" borderId="0" xfId="1546" applyFont="1" applyAlignment="1">
      <alignment vertical="center"/>
    </xf>
    <xf numFmtId="4" fontId="20" fillId="60" borderId="0" xfId="1546" applyNumberFormat="1" applyFont="1" applyFill="1" applyAlignment="1">
      <alignment horizontal="right" vertical="center" wrapText="1"/>
    </xf>
    <xf numFmtId="4" fontId="20" fillId="0" borderId="0" xfId="1546" applyNumberFormat="1" applyFont="1" applyFill="1" applyAlignment="1">
      <alignment horizontal="right" vertical="center" wrapText="1"/>
    </xf>
    <xf numFmtId="0" fontId="13" fillId="60" borderId="0" xfId="1546" applyFont="1" applyFill="1" applyAlignment="1">
      <alignment vertical="center"/>
    </xf>
    <xf numFmtId="0" fontId="13" fillId="0" borderId="0" xfId="1546" applyFont="1" applyAlignment="1">
      <alignment vertical="center"/>
    </xf>
    <xf numFmtId="0" fontId="7" fillId="0" borderId="5" xfId="1546" applyBorder="1" applyAlignment="1">
      <alignment vertical="center"/>
    </xf>
    <xf numFmtId="182" fontId="13" fillId="0" borderId="0" xfId="1241" applyNumberFormat="1" applyFont="1" applyAlignment="1">
      <alignment vertical="center"/>
    </xf>
    <xf numFmtId="2" fontId="7" fillId="0" borderId="0" xfId="1546" applyNumberFormat="1" applyAlignment="1">
      <alignment vertical="center"/>
    </xf>
    <xf numFmtId="0" fontId="7" fillId="0" borderId="0" xfId="1546" applyAlignment="1">
      <alignment horizontal="center" vertical="center" wrapText="1"/>
    </xf>
    <xf numFmtId="2" fontId="7" fillId="0" borderId="0" xfId="1546" applyNumberFormat="1" applyAlignment="1">
      <alignment vertical="center" wrapText="1"/>
    </xf>
    <xf numFmtId="0" fontId="7" fillId="0" borderId="0" xfId="1546" applyAlignment="1">
      <alignment horizontal="left" vertical="center"/>
    </xf>
    <xf numFmtId="0" fontId="7" fillId="0" borderId="0" xfId="1546" applyAlignment="1">
      <alignment horizontal="center" vertical="center"/>
    </xf>
    <xf numFmtId="165" fontId="13" fillId="0" borderId="0" xfId="1546" applyNumberFormat="1" applyFont="1" applyAlignment="1">
      <alignment horizontal="center" vertical="center"/>
    </xf>
    <xf numFmtId="165" fontId="13" fillId="0" borderId="0" xfId="1546" applyNumberFormat="1" applyFont="1" applyAlignment="1">
      <alignment horizontal="right" vertical="center"/>
    </xf>
    <xf numFmtId="165" fontId="7" fillId="0" borderId="0" xfId="1546" applyNumberFormat="1" applyAlignment="1">
      <alignment vertical="center"/>
    </xf>
    <xf numFmtId="0" fontId="80" fillId="0" borderId="0" xfId="1546" applyFont="1"/>
    <xf numFmtId="0" fontId="7" fillId="0" borderId="0" xfId="1546"/>
    <xf numFmtId="0" fontId="13" fillId="0" borderId="0" xfId="1546" applyFont="1"/>
    <xf numFmtId="181" fontId="13" fillId="0" borderId="0" xfId="1546" applyNumberFormat="1" applyFont="1"/>
    <xf numFmtId="183" fontId="13" fillId="0" borderId="0" xfId="1546" applyNumberFormat="1" applyFont="1"/>
    <xf numFmtId="181" fontId="7" fillId="0" borderId="0" xfId="1546" applyNumberFormat="1"/>
    <xf numFmtId="183" fontId="7" fillId="0" borderId="0" xfId="1546" applyNumberFormat="1"/>
    <xf numFmtId="0" fontId="7" fillId="0" borderId="5" xfId="1546" applyBorder="1"/>
    <xf numFmtId="182" fontId="13" fillId="0" borderId="0" xfId="1241" applyNumberFormat="1" applyFont="1"/>
    <xf numFmtId="2" fontId="7" fillId="0" borderId="0" xfId="1546" applyNumberFormat="1"/>
    <xf numFmtId="165" fontId="13" fillId="0" borderId="0" xfId="1546" applyNumberFormat="1" applyFont="1" applyAlignment="1">
      <alignment horizontal="right"/>
    </xf>
    <xf numFmtId="177" fontId="19" fillId="0" borderId="0" xfId="0" applyNumberFormat="1" applyFont="1" applyFill="1" applyBorder="1"/>
    <xf numFmtId="188" fontId="50" fillId="0" borderId="0" xfId="2009" applyNumberFormat="1" applyFont="1" applyFill="1" applyAlignment="1">
      <alignment vertical="center"/>
    </xf>
    <xf numFmtId="188" fontId="50" fillId="59" borderId="0" xfId="2009" applyNumberFormat="1" applyFont="1" applyFill="1" applyAlignment="1">
      <alignment vertical="center"/>
    </xf>
    <xf numFmtId="188" fontId="36" fillId="0" borderId="0" xfId="2009" applyNumberFormat="1" applyFont="1" applyFill="1" applyAlignment="1">
      <alignment vertical="center"/>
    </xf>
    <xf numFmtId="188" fontId="36" fillId="59" borderId="0" xfId="2009" applyNumberFormat="1" applyFont="1" applyFill="1" applyAlignment="1">
      <alignment vertical="center"/>
    </xf>
    <xf numFmtId="188" fontId="36" fillId="74" borderId="0" xfId="2009" applyNumberFormat="1" applyFont="1" applyFill="1" applyAlignment="1">
      <alignment vertical="center"/>
    </xf>
    <xf numFmtId="188" fontId="52" fillId="0" borderId="0" xfId="2009" applyNumberFormat="1" applyFont="1" applyFill="1" applyAlignment="1">
      <alignment vertical="center"/>
    </xf>
    <xf numFmtId="188" fontId="52" fillId="59" borderId="0" xfId="2009" applyNumberFormat="1" applyFont="1" applyFill="1" applyAlignment="1">
      <alignment vertical="center"/>
    </xf>
    <xf numFmtId="188" fontId="48" fillId="0" borderId="0" xfId="2009" applyNumberFormat="1" applyFont="1" applyFill="1" applyAlignment="1">
      <alignment vertical="center"/>
    </xf>
    <xf numFmtId="188" fontId="48" fillId="59" borderId="0" xfId="2009" applyNumberFormat="1" applyFont="1" applyFill="1" applyAlignment="1">
      <alignment vertical="center"/>
    </xf>
    <xf numFmtId="188" fontId="48" fillId="74" borderId="0" xfId="2009" applyNumberFormat="1" applyFont="1" applyFill="1" applyAlignment="1">
      <alignment vertical="center"/>
    </xf>
    <xf numFmtId="188" fontId="54" fillId="0" borderId="0" xfId="2009" applyNumberFormat="1" applyFont="1" applyFill="1" applyAlignment="1">
      <alignment vertical="center"/>
    </xf>
    <xf numFmtId="188" fontId="54" fillId="59" borderId="0" xfId="2009" applyNumberFormat="1" applyFont="1" applyFill="1" applyAlignment="1">
      <alignment vertical="center"/>
    </xf>
    <xf numFmtId="188" fontId="54" fillId="74" borderId="0" xfId="2009" applyNumberFormat="1" applyFont="1" applyFill="1" applyAlignment="1">
      <alignment vertical="center"/>
    </xf>
    <xf numFmtId="188" fontId="61" fillId="0" borderId="0" xfId="2009" applyNumberFormat="1" applyFont="1" applyFill="1" applyAlignment="1">
      <alignment vertical="center"/>
    </xf>
    <xf numFmtId="188" fontId="61" fillId="59" borderId="0" xfId="2009" applyNumberFormat="1" applyFont="1" applyFill="1" applyAlignment="1">
      <alignment vertical="center"/>
    </xf>
    <xf numFmtId="188" fontId="61" fillId="74" borderId="0" xfId="2009" applyNumberFormat="1" applyFont="1" applyFill="1" applyAlignment="1">
      <alignment vertical="center"/>
    </xf>
    <xf numFmtId="188" fontId="54" fillId="0" borderId="0" xfId="2009" applyNumberFormat="1" applyFont="1" applyAlignment="1">
      <alignment vertical="center"/>
    </xf>
    <xf numFmtId="188" fontId="50" fillId="0" borderId="54" xfId="2009" applyNumberFormat="1" applyFont="1" applyFill="1" applyBorder="1" applyAlignment="1">
      <alignment vertical="center"/>
    </xf>
    <xf numFmtId="188" fontId="50" fillId="0" borderId="54" xfId="2009" applyNumberFormat="1" applyFont="1" applyBorder="1" applyAlignment="1">
      <alignment vertical="center"/>
    </xf>
    <xf numFmtId="188" fontId="50" fillId="0" borderId="0" xfId="2009" applyNumberFormat="1" applyFont="1" applyAlignment="1">
      <alignment vertical="center"/>
    </xf>
    <xf numFmtId="188" fontId="36" fillId="0" borderId="0" xfId="2009" applyNumberFormat="1" applyFont="1" applyAlignment="1">
      <alignment vertical="center"/>
    </xf>
    <xf numFmtId="188" fontId="52" fillId="0" borderId="0" xfId="2009" applyNumberFormat="1" applyFont="1" applyAlignment="1">
      <alignment vertical="center"/>
    </xf>
    <xf numFmtId="177" fontId="7" fillId="0" borderId="6" xfId="2009" applyNumberFormat="1" applyFont="1" applyFill="1" applyBorder="1" applyAlignment="1">
      <alignment vertical="center"/>
    </xf>
    <xf numFmtId="177" fontId="7" fillId="0" borderId="6" xfId="2009" applyNumberFormat="1" applyFont="1" applyBorder="1" applyAlignment="1">
      <alignment vertical="center"/>
    </xf>
    <xf numFmtId="177" fontId="13" fillId="74" borderId="49" xfId="2009" quotePrefix="1" applyNumberFormat="1" applyFont="1" applyFill="1" applyBorder="1" applyAlignment="1">
      <alignment horizontal="right" vertical="center"/>
    </xf>
    <xf numFmtId="177" fontId="49" fillId="0" borderId="0" xfId="2009" applyNumberFormat="1" applyFont="1" applyFill="1" applyAlignment="1">
      <alignment vertical="center"/>
    </xf>
    <xf numFmtId="177" fontId="49" fillId="0" borderId="6" xfId="2009" applyNumberFormat="1" applyFont="1" applyBorder="1" applyAlignment="1">
      <alignment vertical="center"/>
    </xf>
    <xf numFmtId="0" fontId="12" fillId="0" borderId="0" xfId="2009" applyFont="1" applyFill="1" applyBorder="1" applyAlignment="1">
      <alignment vertical="center"/>
    </xf>
    <xf numFmtId="0" fontId="12" fillId="74" borderId="0" xfId="2009" applyFont="1" applyFill="1" applyBorder="1" applyAlignment="1">
      <alignment vertical="center"/>
    </xf>
    <xf numFmtId="188" fontId="12" fillId="0" borderId="0" xfId="2009" applyNumberFormat="1" applyFont="1" applyFill="1" applyAlignment="1">
      <alignment vertical="center"/>
    </xf>
    <xf numFmtId="188" fontId="12" fillId="59" borderId="0" xfId="2009" applyNumberFormat="1" applyFont="1" applyFill="1" applyAlignment="1">
      <alignment vertical="center"/>
    </xf>
    <xf numFmtId="188" fontId="12" fillId="74" borderId="0" xfId="2009" applyNumberFormat="1" applyFont="1" applyFill="1" applyAlignment="1">
      <alignment vertical="center"/>
    </xf>
    <xf numFmtId="188" fontId="12" fillId="0" borderId="54" xfId="2009" applyNumberFormat="1" applyFont="1" applyFill="1" applyBorder="1" applyAlignment="1">
      <alignment vertical="center"/>
    </xf>
    <xf numFmtId="188" fontId="12" fillId="0" borderId="54" xfId="2009" applyNumberFormat="1" applyFont="1" applyBorder="1" applyAlignment="1">
      <alignment vertical="center"/>
    </xf>
    <xf numFmtId="188" fontId="12" fillId="0" borderId="0" xfId="2009" applyNumberFormat="1" applyFont="1" applyAlignment="1">
      <alignment vertical="center"/>
    </xf>
    <xf numFmtId="177" fontId="7" fillId="0" borderId="0" xfId="2009" applyNumberFormat="1" applyFont="1" applyFill="1" applyAlignment="1">
      <alignment vertical="center"/>
    </xf>
    <xf numFmtId="177" fontId="12" fillId="0" borderId="0" xfId="2009" applyNumberFormat="1" applyFont="1" applyAlignment="1">
      <alignment vertical="center"/>
    </xf>
    <xf numFmtId="0" fontId="12" fillId="0" borderId="0" xfId="2009" applyFont="1" applyFill="1" applyAlignment="1">
      <alignment vertical="center"/>
    </xf>
    <xf numFmtId="0" fontId="12" fillId="60" borderId="0" xfId="2009" applyFont="1" applyFill="1" applyAlignment="1">
      <alignment vertical="center"/>
    </xf>
    <xf numFmtId="177" fontId="7" fillId="0" borderId="0" xfId="0" applyNumberFormat="1" applyFont="1"/>
    <xf numFmtId="188" fontId="20" fillId="0" borderId="0" xfId="0" applyNumberFormat="1" applyFont="1" applyBorder="1"/>
    <xf numFmtId="188" fontId="20" fillId="77" borderId="0" xfId="0" applyNumberFormat="1" applyFont="1" applyFill="1" applyBorder="1"/>
    <xf numFmtId="188" fontId="20" fillId="76" borderId="0" xfId="0" applyNumberFormat="1" applyFont="1" applyFill="1"/>
    <xf numFmtId="188" fontId="19" fillId="0" borderId="0" xfId="0" applyNumberFormat="1" applyFont="1" applyBorder="1"/>
    <xf numFmtId="188" fontId="19" fillId="77" borderId="0" xfId="0" applyNumberFormat="1" applyFont="1" applyFill="1" applyBorder="1"/>
    <xf numFmtId="188" fontId="19" fillId="76" borderId="0" xfId="0" applyNumberFormat="1" applyFont="1" applyFill="1"/>
    <xf numFmtId="188" fontId="20" fillId="0" borderId="0" xfId="0" applyNumberFormat="1" applyFont="1"/>
    <xf numFmtId="188" fontId="20" fillId="77" borderId="0" xfId="0" applyNumberFormat="1" applyFont="1" applyFill="1"/>
    <xf numFmtId="188" fontId="19" fillId="0" borderId="26" xfId="0" applyNumberFormat="1" applyFont="1" applyBorder="1"/>
    <xf numFmtId="188" fontId="19" fillId="77" borderId="26" xfId="0" applyNumberFormat="1" applyFont="1" applyFill="1" applyBorder="1"/>
    <xf numFmtId="188" fontId="19" fillId="76" borderId="26" xfId="0" applyNumberFormat="1" applyFont="1" applyFill="1" applyBorder="1"/>
    <xf numFmtId="188" fontId="0" fillId="0" borderId="0" xfId="0" applyNumberFormat="1"/>
    <xf numFmtId="188" fontId="0" fillId="0" borderId="0" xfId="0" applyNumberFormat="1" applyFill="1"/>
    <xf numFmtId="188" fontId="13" fillId="0" borderId="26" xfId="0" applyNumberFormat="1" applyFont="1" applyBorder="1"/>
    <xf numFmtId="188" fontId="13" fillId="77" borderId="26" xfId="0" applyNumberFormat="1" applyFont="1" applyFill="1" applyBorder="1"/>
    <xf numFmtId="188" fontId="13" fillId="76" borderId="26" xfId="0" applyNumberFormat="1" applyFont="1" applyFill="1" applyBorder="1"/>
    <xf numFmtId="188" fontId="20" fillId="59" borderId="0" xfId="0" applyNumberFormat="1" applyFont="1" applyFill="1" applyBorder="1"/>
    <xf numFmtId="188" fontId="20" fillId="73" borderId="0" xfId="0" applyNumberFormat="1" applyFont="1" applyFill="1"/>
    <xf numFmtId="188" fontId="19" fillId="59" borderId="0" xfId="0" applyNumberFormat="1" applyFont="1" applyFill="1" applyBorder="1"/>
    <xf numFmtId="188" fontId="19" fillId="73" borderId="0" xfId="0" applyNumberFormat="1" applyFont="1" applyFill="1"/>
    <xf numFmtId="188" fontId="42" fillId="0" borderId="0" xfId="0" applyNumberFormat="1" applyFont="1" applyBorder="1"/>
    <xf numFmtId="188" fontId="42" fillId="59" borderId="0" xfId="0" applyNumberFormat="1" applyFont="1" applyFill="1" applyBorder="1"/>
    <xf numFmtId="188" fontId="42" fillId="73" borderId="0" xfId="0" applyNumberFormat="1" applyFont="1" applyFill="1"/>
    <xf numFmtId="188" fontId="42" fillId="0" borderId="0" xfId="0" applyNumberFormat="1" applyFont="1" applyFill="1" applyBorder="1"/>
    <xf numFmtId="188" fontId="42" fillId="0" borderId="0" xfId="0" applyNumberFormat="1" applyFont="1" applyFill="1"/>
    <xf numFmtId="188" fontId="20" fillId="0" borderId="0" xfId="0" applyNumberFormat="1" applyFont="1" applyFill="1" applyBorder="1"/>
    <xf numFmtId="188" fontId="20" fillId="0" borderId="0" xfId="0" applyNumberFormat="1" applyFont="1" applyFill="1"/>
    <xf numFmtId="188" fontId="60" fillId="0" borderId="26" xfId="0" applyNumberFormat="1" applyFont="1" applyBorder="1"/>
    <xf numFmtId="188" fontId="60" fillId="59" borderId="26" xfId="0" applyNumberFormat="1" applyFont="1" applyFill="1" applyBorder="1"/>
    <xf numFmtId="188" fontId="60" fillId="73" borderId="26" xfId="0" applyNumberFormat="1" applyFont="1" applyFill="1" applyBorder="1"/>
    <xf numFmtId="0" fontId="7" fillId="60" borderId="0" xfId="0" applyFont="1" applyFill="1"/>
    <xf numFmtId="177" fontId="20" fillId="60" borderId="0" xfId="0" applyNumberFormat="1" applyFont="1" applyFill="1" applyBorder="1"/>
    <xf numFmtId="0" fontId="0" fillId="60" borderId="0" xfId="0" applyFill="1"/>
    <xf numFmtId="188" fontId="36" fillId="60" borderId="0" xfId="2009" applyNumberFormat="1" applyFont="1" applyFill="1" applyAlignment="1">
      <alignment vertical="center"/>
    </xf>
    <xf numFmtId="0" fontId="83" fillId="0" borderId="0" xfId="2005" applyFont="1" applyFill="1" applyAlignment="1">
      <alignment horizontal="center" vertical="center"/>
    </xf>
    <xf numFmtId="0" fontId="83" fillId="0" borderId="0" xfId="2005" applyFont="1" applyFill="1" applyAlignment="1">
      <alignment vertical="center"/>
    </xf>
    <xf numFmtId="0" fontId="83" fillId="0" borderId="0" xfId="2005" applyFont="1" applyAlignment="1">
      <alignment vertical="center"/>
    </xf>
    <xf numFmtId="0" fontId="83" fillId="0" borderId="0" xfId="2005" applyFont="1" applyFill="1" applyAlignment="1">
      <alignment horizontal="left" vertical="center"/>
    </xf>
    <xf numFmtId="0" fontId="8" fillId="60" borderId="0" xfId="1546" applyFont="1" applyFill="1"/>
    <xf numFmtId="0" fontId="83" fillId="0" borderId="0" xfId="2005" applyFont="1" applyAlignment="1">
      <alignment horizontal="center" vertical="center"/>
    </xf>
    <xf numFmtId="189" fontId="83" fillId="0" borderId="0" xfId="2005" applyNumberFormat="1" applyFont="1" applyBorder="1" applyAlignment="1">
      <alignment vertical="center"/>
    </xf>
    <xf numFmtId="189" fontId="83" fillId="0" borderId="0" xfId="2005" applyNumberFormat="1" applyFont="1" applyBorder="1" applyAlignment="1">
      <alignment horizontal="center" vertical="center"/>
    </xf>
    <xf numFmtId="0" fontId="0" fillId="75" borderId="0" xfId="2005" applyFont="1" applyFill="1" applyBorder="1" applyAlignment="1">
      <alignment horizontal="center"/>
    </xf>
    <xf numFmtId="0" fontId="83" fillId="75" borderId="0" xfId="2005" applyFont="1" applyFill="1" applyAlignment="1">
      <alignment horizontal="center" vertical="center"/>
    </xf>
    <xf numFmtId="0" fontId="83" fillId="0" borderId="0" xfId="2005" applyFont="1" applyAlignment="1">
      <alignment horizontal="right" vertical="center"/>
    </xf>
    <xf numFmtId="189" fontId="83" fillId="0" borderId="0" xfId="2005" applyNumberFormat="1" applyFont="1" applyFill="1" applyBorder="1" applyAlignment="1">
      <alignment horizontal="center" vertical="center"/>
    </xf>
    <xf numFmtId="0" fontId="7" fillId="0" borderId="0" xfId="2005" applyFont="1" applyBorder="1"/>
    <xf numFmtId="189" fontId="83" fillId="0" borderId="0" xfId="2005" applyNumberFormat="1" applyFont="1" applyFill="1" applyBorder="1" applyAlignment="1">
      <alignment vertical="center"/>
    </xf>
    <xf numFmtId="189" fontId="83" fillId="78" borderId="0" xfId="2005" applyNumberFormat="1" applyFont="1" applyFill="1" applyBorder="1" applyAlignment="1">
      <alignment vertical="center"/>
    </xf>
    <xf numFmtId="190" fontId="84" fillId="49" borderId="0" xfId="1670" applyNumberFormat="1" applyFont="1" applyFill="1" applyBorder="1" applyAlignment="1">
      <alignment vertical="center"/>
    </xf>
    <xf numFmtId="189" fontId="83" fillId="79" borderId="0" xfId="2005" applyNumberFormat="1" applyFont="1" applyFill="1" applyBorder="1" applyAlignment="1">
      <alignment vertical="center"/>
    </xf>
    <xf numFmtId="189" fontId="85" fillId="0" borderId="0" xfId="2005" applyNumberFormat="1" applyFont="1" applyFill="1" applyBorder="1" applyAlignment="1">
      <alignment horizontal="center" vertical="center"/>
    </xf>
    <xf numFmtId="189" fontId="85" fillId="0" borderId="0" xfId="2005" applyNumberFormat="1" applyFont="1" applyFill="1" applyBorder="1" applyAlignment="1">
      <alignment vertical="center"/>
    </xf>
    <xf numFmtId="189" fontId="86" fillId="0" borderId="0" xfId="2005" applyNumberFormat="1" applyFont="1" applyBorder="1" applyAlignment="1">
      <alignment vertical="center"/>
    </xf>
    <xf numFmtId="0" fontId="86" fillId="0" borderId="0" xfId="2005" applyFont="1" applyAlignment="1">
      <alignment vertical="center"/>
    </xf>
    <xf numFmtId="0" fontId="87" fillId="0" borderId="0" xfId="2005" applyFont="1" applyFill="1" applyAlignment="1">
      <alignment horizontal="center" vertical="center"/>
    </xf>
    <xf numFmtId="0" fontId="87" fillId="0" borderId="0" xfId="2005" applyFont="1" applyFill="1" applyAlignment="1">
      <alignment vertical="center"/>
    </xf>
    <xf numFmtId="0" fontId="87" fillId="0" borderId="0" xfId="2005" applyFont="1" applyAlignment="1">
      <alignment vertical="center"/>
    </xf>
    <xf numFmtId="0" fontId="88" fillId="0" borderId="0" xfId="2005" applyFont="1" applyFill="1" applyAlignment="1">
      <alignment horizontal="center" vertical="center"/>
    </xf>
    <xf numFmtId="0" fontId="88" fillId="0" borderId="0" xfId="2005" applyFont="1" applyFill="1" applyAlignment="1">
      <alignment vertical="center"/>
    </xf>
    <xf numFmtId="0" fontId="88" fillId="0" borderId="0" xfId="2005" applyFont="1" applyAlignment="1">
      <alignment vertical="center"/>
    </xf>
    <xf numFmtId="189" fontId="88" fillId="0" borderId="0" xfId="2005" applyNumberFormat="1" applyFont="1" applyAlignment="1">
      <alignment vertical="center"/>
    </xf>
    <xf numFmtId="189" fontId="56" fillId="0" borderId="0" xfId="2006" applyNumberFormat="1" applyFont="1" applyAlignment="1">
      <alignment horizontal="center" vertical="center"/>
    </xf>
    <xf numFmtId="189" fontId="89" fillId="0" borderId="0" xfId="2006" applyNumberFormat="1" applyFont="1" applyAlignment="1">
      <alignment vertical="center"/>
    </xf>
    <xf numFmtId="189" fontId="190" fillId="0" borderId="0" xfId="2006" applyNumberFormat="1" applyFont="1" applyAlignment="1">
      <alignment horizontal="center" vertical="center"/>
    </xf>
    <xf numFmtId="190" fontId="90" fillId="49" borderId="0" xfId="1670" applyNumberFormat="1" applyFont="1" applyFill="1" applyBorder="1" applyAlignment="1">
      <alignment vertical="center"/>
    </xf>
    <xf numFmtId="189" fontId="191" fillId="0" borderId="0" xfId="2006" applyNumberFormat="1" applyFont="1" applyAlignment="1">
      <alignment vertical="center"/>
    </xf>
    <xf numFmtId="189" fontId="86" fillId="0" borderId="0" xfId="2005" applyNumberFormat="1" applyFont="1" applyFill="1" applyBorder="1" applyAlignment="1">
      <alignment horizontal="center" vertical="center"/>
    </xf>
    <xf numFmtId="0" fontId="13" fillId="0" borderId="0" xfId="2005" applyFont="1" applyBorder="1"/>
    <xf numFmtId="189" fontId="86" fillId="79" borderId="0" xfId="2005" applyNumberFormat="1" applyFont="1" applyFill="1" applyBorder="1" applyAlignment="1">
      <alignment vertical="center"/>
    </xf>
    <xf numFmtId="189" fontId="56" fillId="0" borderId="0" xfId="2006" applyNumberFormat="1" applyFont="1" applyAlignment="1">
      <alignment vertical="center"/>
    </xf>
    <xf numFmtId="189" fontId="86" fillId="0" borderId="0" xfId="2005" applyNumberFormat="1" applyFont="1" applyAlignment="1">
      <alignment vertical="center"/>
    </xf>
    <xf numFmtId="190" fontId="87" fillId="0" borderId="0" xfId="2005" applyNumberFormat="1" applyFont="1" applyAlignment="1">
      <alignment vertical="center"/>
    </xf>
    <xf numFmtId="0" fontId="56" fillId="0" borderId="0" xfId="2006" applyFont="1" applyAlignment="1">
      <alignment vertical="center"/>
    </xf>
    <xf numFmtId="189" fontId="83" fillId="59" borderId="0" xfId="2005" applyNumberFormat="1" applyFont="1" applyFill="1" applyBorder="1" applyAlignment="1">
      <alignment vertical="center"/>
    </xf>
    <xf numFmtId="189" fontId="35" fillId="0" borderId="0" xfId="2006" applyNumberFormat="1" applyFont="1" applyAlignment="1">
      <alignment vertical="center"/>
    </xf>
    <xf numFmtId="190" fontId="83" fillId="0" borderId="0" xfId="2005" applyNumberFormat="1" applyFont="1" applyAlignment="1">
      <alignment vertical="center"/>
    </xf>
    <xf numFmtId="0" fontId="86" fillId="0" borderId="0" xfId="2005" applyFont="1" applyAlignment="1">
      <alignment horizontal="center" vertical="center"/>
    </xf>
    <xf numFmtId="0" fontId="91" fillId="0" borderId="0" xfId="2005" applyFont="1" applyAlignment="1">
      <alignment horizontal="center" vertical="center" wrapText="1"/>
    </xf>
    <xf numFmtId="0" fontId="86" fillId="0" borderId="0" xfId="2005" applyFont="1" applyAlignment="1">
      <alignment vertical="center" wrapText="1"/>
    </xf>
    <xf numFmtId="0" fontId="87" fillId="0" borderId="0" xfId="2005" applyFont="1" applyAlignment="1">
      <alignment horizontal="center" vertical="center" wrapText="1"/>
    </xf>
    <xf numFmtId="189" fontId="93" fillId="58" borderId="0" xfId="1670" applyNumberFormat="1" applyFont="1" applyFill="1">
      <alignment vertical="center"/>
    </xf>
    <xf numFmtId="191" fontId="92" fillId="58" borderId="55" xfId="1670" applyNumberFormat="1" applyFont="1" applyFill="1" applyBorder="1" applyAlignment="1">
      <alignment vertical="center"/>
    </xf>
    <xf numFmtId="189" fontId="7" fillId="0" borderId="0" xfId="1670" applyNumberFormat="1" applyFont="1" applyFill="1" applyBorder="1" applyAlignment="1">
      <alignment vertical="center"/>
    </xf>
    <xf numFmtId="189" fontId="11" fillId="0" borderId="0" xfId="1670" applyNumberFormat="1" applyFont="1" applyFill="1" applyBorder="1" applyAlignment="1">
      <alignment vertical="center"/>
    </xf>
    <xf numFmtId="189" fontId="94" fillId="0" borderId="0" xfId="1670" applyNumberFormat="1" applyFont="1">
      <alignment vertical="center"/>
    </xf>
    <xf numFmtId="192" fontId="95" fillId="0" borderId="0" xfId="1670" applyNumberFormat="1" applyFont="1">
      <alignment vertical="center"/>
    </xf>
    <xf numFmtId="192" fontId="93" fillId="0" borderId="0" xfId="1670" applyNumberFormat="1" applyFont="1">
      <alignment vertical="center"/>
    </xf>
    <xf numFmtId="0" fontId="96" fillId="0" borderId="0" xfId="1670" applyFont="1">
      <alignment vertical="center"/>
    </xf>
    <xf numFmtId="189" fontId="93" fillId="0" borderId="0" xfId="1670" applyNumberFormat="1" applyFont="1">
      <alignment vertical="center"/>
    </xf>
    <xf numFmtId="0" fontId="93" fillId="0" borderId="0" xfId="1670" applyFont="1">
      <alignment vertical="center"/>
    </xf>
    <xf numFmtId="0" fontId="97" fillId="0" borderId="0" xfId="1670" applyFont="1" applyAlignment="1">
      <alignment vertical="center" wrapText="1"/>
    </xf>
    <xf numFmtId="0" fontId="97" fillId="0" borderId="0" xfId="1670" applyFont="1">
      <alignment vertical="center"/>
    </xf>
    <xf numFmtId="189" fontId="97" fillId="0" borderId="0" xfId="1670" applyNumberFormat="1" applyFont="1">
      <alignment vertical="center"/>
    </xf>
    <xf numFmtId="191" fontId="97" fillId="0" borderId="0" xfId="1670" applyNumberFormat="1" applyFont="1">
      <alignment vertical="center"/>
    </xf>
    <xf numFmtId="189" fontId="98" fillId="0" borderId="0" xfId="1670" applyNumberFormat="1" applyFont="1" applyFill="1" applyBorder="1">
      <alignment vertical="center"/>
    </xf>
    <xf numFmtId="192" fontId="99" fillId="0" borderId="0" xfId="1670" applyNumberFormat="1" applyFont="1">
      <alignment vertical="center"/>
    </xf>
    <xf numFmtId="192" fontId="97" fillId="0" borderId="0" xfId="1670" applyNumberFormat="1" applyFont="1">
      <alignment vertical="center"/>
    </xf>
    <xf numFmtId="0" fontId="100" fillId="0" borderId="0" xfId="1670" applyFont="1">
      <alignment vertical="center"/>
    </xf>
    <xf numFmtId="0" fontId="101" fillId="0" borderId="0" xfId="1670" applyFont="1" applyAlignment="1">
      <alignment vertical="center"/>
    </xf>
    <xf numFmtId="191" fontId="7" fillId="80" borderId="0" xfId="1670" applyNumberFormat="1" applyFont="1" applyFill="1" applyBorder="1" applyAlignment="1">
      <alignment vertical="center"/>
    </xf>
    <xf numFmtId="193" fontId="7" fillId="80" borderId="0" xfId="1670" applyNumberFormat="1" applyFont="1" applyFill="1" applyBorder="1" applyAlignment="1">
      <alignment vertical="center"/>
    </xf>
    <xf numFmtId="190" fontId="11" fillId="0" borderId="0" xfId="1670" applyNumberFormat="1" applyFont="1" applyFill="1" applyBorder="1" applyAlignment="1">
      <alignment horizontal="left" vertical="center" indent="1"/>
    </xf>
    <xf numFmtId="190" fontId="11" fillId="0" borderId="0" xfId="1670" applyNumberFormat="1" applyFont="1" applyFill="1" applyBorder="1" applyAlignment="1">
      <alignment vertical="center"/>
    </xf>
    <xf numFmtId="189" fontId="102" fillId="0" borderId="0" xfId="1670" applyNumberFormat="1" applyFont="1">
      <alignment vertical="center"/>
    </xf>
    <xf numFmtId="191" fontId="101" fillId="78" borderId="0" xfId="1670" applyNumberFormat="1" applyFont="1" applyFill="1" applyBorder="1" applyAlignment="1">
      <alignment vertical="center"/>
    </xf>
    <xf numFmtId="190" fontId="7" fillId="0" borderId="0" xfId="1670" applyNumberFormat="1" applyFont="1" applyFill="1" applyBorder="1" applyAlignment="1">
      <alignment vertical="center"/>
    </xf>
    <xf numFmtId="191" fontId="101" fillId="59" borderId="0" xfId="1670" applyNumberFormat="1" applyFont="1" applyFill="1" applyBorder="1" applyAlignment="1">
      <alignment vertical="center"/>
    </xf>
    <xf numFmtId="193" fontId="13" fillId="59" borderId="0" xfId="1670" applyNumberFormat="1" applyFont="1" applyFill="1" applyBorder="1" applyAlignment="1">
      <alignment vertical="center"/>
    </xf>
    <xf numFmtId="191" fontId="101" fillId="49" borderId="0" xfId="1670" applyNumberFormat="1" applyFont="1" applyFill="1" applyBorder="1" applyAlignment="1">
      <alignment vertical="center"/>
    </xf>
    <xf numFmtId="190" fontId="49" fillId="0" borderId="0" xfId="1670" applyNumberFormat="1" applyFont="1" applyFill="1" applyBorder="1" applyAlignment="1">
      <alignment vertical="center"/>
    </xf>
    <xf numFmtId="3" fontId="49" fillId="0" borderId="0" xfId="1546" applyNumberFormat="1" applyFont="1"/>
    <xf numFmtId="191" fontId="101" fillId="0" borderId="0" xfId="1670" applyNumberFormat="1" applyFont="1" applyFill="1" applyBorder="1" applyAlignment="1">
      <alignment vertical="center"/>
    </xf>
    <xf numFmtId="190" fontId="102" fillId="0" borderId="0" xfId="1670" applyNumberFormat="1" applyFont="1" applyFill="1" applyBorder="1" applyAlignment="1">
      <alignment vertical="center"/>
    </xf>
    <xf numFmtId="0" fontId="103" fillId="0" borderId="0" xfId="2005" applyFont="1" applyFill="1" applyAlignment="1">
      <alignment horizontal="center" vertical="center"/>
    </xf>
    <xf numFmtId="0" fontId="103" fillId="0" borderId="0" xfId="2005" applyFont="1" applyFill="1" applyAlignment="1">
      <alignment vertical="center"/>
    </xf>
    <xf numFmtId="0" fontId="103" fillId="0" borderId="0" xfId="2005" applyFont="1" applyAlignment="1">
      <alignment vertical="center"/>
    </xf>
    <xf numFmtId="0" fontId="104" fillId="0" borderId="0" xfId="2005" applyFont="1" applyAlignment="1">
      <alignment vertical="center"/>
    </xf>
    <xf numFmtId="0" fontId="105" fillId="60" borderId="0" xfId="2006" applyFont="1" applyFill="1" applyAlignment="1">
      <alignment vertical="center"/>
    </xf>
    <xf numFmtId="0" fontId="35" fillId="60" borderId="0" xfId="2006" applyFont="1" applyFill="1" applyAlignment="1">
      <alignment vertical="center"/>
    </xf>
    <xf numFmtId="0" fontId="106" fillId="60" borderId="0" xfId="2006" applyFont="1" applyFill="1" applyAlignment="1">
      <alignment vertical="center"/>
    </xf>
    <xf numFmtId="0" fontId="62" fillId="0" borderId="0" xfId="2008" applyFont="1"/>
    <xf numFmtId="0" fontId="20" fillId="0" borderId="0" xfId="2008" applyFont="1" applyAlignment="1">
      <alignment horizontal="center"/>
    </xf>
    <xf numFmtId="0" fontId="20" fillId="0" borderId="0" xfId="2008" applyFont="1"/>
    <xf numFmtId="4" fontId="24" fillId="0" borderId="0" xfId="2008" applyNumberFormat="1" applyFont="1" applyFill="1"/>
    <xf numFmtId="174" fontId="7" fillId="61" borderId="0" xfId="2008" applyNumberFormat="1" applyFont="1" applyFill="1"/>
    <xf numFmtId="0" fontId="20" fillId="61" borderId="0" xfId="2008" applyFont="1" applyFill="1"/>
    <xf numFmtId="0" fontId="192" fillId="61" borderId="0" xfId="2008" applyFont="1" applyFill="1" applyAlignment="1">
      <alignment horizontal="center" vertical="center"/>
    </xf>
    <xf numFmtId="0" fontId="20" fillId="0" borderId="0" xfId="2008" applyFont="1" applyFill="1"/>
    <xf numFmtId="173" fontId="62" fillId="0" borderId="0" xfId="1236" applyNumberFormat="1" applyFont="1" applyFill="1" applyBorder="1" applyAlignment="1">
      <alignment horizontal="center" wrapText="1"/>
    </xf>
    <xf numFmtId="193" fontId="11" fillId="80" borderId="0" xfId="1670" applyNumberFormat="1" applyFont="1" applyFill="1" applyBorder="1" applyAlignment="1">
      <alignment vertical="center"/>
    </xf>
    <xf numFmtId="3" fontId="24" fillId="61" borderId="0" xfId="2008" applyNumberFormat="1" applyFont="1" applyFill="1"/>
    <xf numFmtId="0" fontId="24" fillId="0" borderId="0" xfId="2008" applyFont="1" applyFill="1"/>
    <xf numFmtId="264" fontId="83" fillId="0" borderId="56" xfId="2005" applyNumberFormat="1" applyFont="1" applyBorder="1" applyAlignment="1">
      <alignment vertical="center"/>
    </xf>
    <xf numFmtId="264" fontId="83" fillId="0" borderId="57" xfId="2005" applyNumberFormat="1" applyFont="1" applyBorder="1" applyAlignment="1">
      <alignment vertical="center"/>
    </xf>
    <xf numFmtId="264" fontId="83" fillId="0" borderId="57" xfId="2005" applyNumberFormat="1" applyFont="1" applyFill="1" applyBorder="1" applyAlignment="1">
      <alignment vertical="center"/>
    </xf>
    <xf numFmtId="264" fontId="83" fillId="0" borderId="58" xfId="2005" applyNumberFormat="1" applyFont="1" applyBorder="1" applyAlignment="1">
      <alignment vertical="center"/>
    </xf>
    <xf numFmtId="264" fontId="83" fillId="0" borderId="59" xfId="2005" applyNumberFormat="1" applyFont="1" applyBorder="1" applyAlignment="1">
      <alignment vertical="center"/>
    </xf>
    <xf numFmtId="264" fontId="83" fillId="0" borderId="5" xfId="2005" applyNumberFormat="1" applyFont="1" applyBorder="1" applyAlignment="1">
      <alignment vertical="center"/>
    </xf>
    <xf numFmtId="264" fontId="83" fillId="0" borderId="5" xfId="2005" applyNumberFormat="1" applyFont="1" applyFill="1" applyBorder="1" applyAlignment="1">
      <alignment vertical="center"/>
    </xf>
    <xf numFmtId="264" fontId="83" fillId="0" borderId="60" xfId="2005" applyNumberFormat="1" applyFont="1" applyBorder="1" applyAlignment="1">
      <alignment vertical="center"/>
    </xf>
    <xf numFmtId="264" fontId="83" fillId="0" borderId="0" xfId="2005" applyNumberFormat="1" applyFont="1" applyBorder="1" applyAlignment="1">
      <alignment vertical="center"/>
    </xf>
    <xf numFmtId="264" fontId="83" fillId="0" borderId="0" xfId="2005" applyNumberFormat="1" applyFont="1" applyFill="1" applyBorder="1" applyAlignment="1">
      <alignment vertical="center"/>
    </xf>
    <xf numFmtId="264" fontId="83" fillId="80" borderId="0" xfId="2005" applyNumberFormat="1" applyFont="1" applyFill="1" applyBorder="1" applyAlignment="1">
      <alignment vertical="center"/>
    </xf>
    <xf numFmtId="264" fontId="83" fillId="78" borderId="0" xfId="2005" applyNumberFormat="1" applyFont="1" applyFill="1" applyBorder="1" applyAlignment="1">
      <alignment vertical="center"/>
    </xf>
    <xf numFmtId="264" fontId="84" fillId="49" borderId="0" xfId="1670" applyNumberFormat="1" applyFont="1" applyFill="1" applyBorder="1" applyAlignment="1">
      <alignment vertical="center"/>
    </xf>
    <xf numFmtId="264" fontId="83" fillId="79" borderId="0" xfId="2005" applyNumberFormat="1" applyFont="1" applyFill="1" applyBorder="1" applyAlignment="1">
      <alignment vertical="center"/>
    </xf>
    <xf numFmtId="264" fontId="83" fillId="0" borderId="0" xfId="2005" applyNumberFormat="1" applyFont="1" applyAlignment="1">
      <alignment vertical="center"/>
    </xf>
    <xf numFmtId="264" fontId="86" fillId="0" borderId="0" xfId="2005" applyNumberFormat="1" applyFont="1" applyBorder="1" applyAlignment="1">
      <alignment vertical="center"/>
    </xf>
    <xf numFmtId="264" fontId="86" fillId="0" borderId="0" xfId="2005" applyNumberFormat="1" applyFont="1" applyFill="1" applyBorder="1" applyAlignment="1">
      <alignment vertical="center"/>
    </xf>
    <xf numFmtId="264" fontId="87" fillId="0" borderId="0" xfId="2005" applyNumberFormat="1" applyFont="1" applyAlignment="1">
      <alignment vertical="center"/>
    </xf>
    <xf numFmtId="264" fontId="88" fillId="0" borderId="0" xfId="2005" applyNumberFormat="1" applyFont="1" applyAlignment="1">
      <alignment vertical="center"/>
    </xf>
    <xf numFmtId="0" fontId="13" fillId="0" borderId="0" xfId="1546" applyFont="1" applyFill="1" applyAlignment="1">
      <alignment vertical="center"/>
    </xf>
    <xf numFmtId="184" fontId="19" fillId="0" borderId="0" xfId="124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1546" applyFont="1" applyFill="1" applyBorder="1" applyAlignment="1">
      <alignment horizontal="left" vertical="center" wrapText="1"/>
    </xf>
    <xf numFmtId="0" fontId="62" fillId="0" borderId="61" xfId="0" applyFont="1" applyBorder="1" applyAlignment="1">
      <alignment horizontal="left" wrapText="1"/>
    </xf>
    <xf numFmtId="0" fontId="13" fillId="0" borderId="61" xfId="0" applyFont="1" applyBorder="1" applyAlignment="1">
      <alignment horizontal="left" wrapText="1"/>
    </xf>
    <xf numFmtId="0" fontId="7" fillId="0" borderId="61" xfId="0" applyFont="1" applyBorder="1" applyAlignment="1">
      <alignment horizontal="left" wrapText="1"/>
    </xf>
    <xf numFmtId="0" fontId="13" fillId="81" borderId="61" xfId="1546" applyFont="1" applyFill="1" applyBorder="1" applyAlignment="1">
      <alignment horizontal="center" vertical="center" wrapText="1"/>
    </xf>
    <xf numFmtId="0" fontId="13" fillId="81" borderId="61" xfId="1546" applyFont="1" applyFill="1" applyBorder="1" applyAlignment="1">
      <alignment vertical="center" wrapText="1"/>
    </xf>
    <xf numFmtId="181" fontId="13" fillId="0" borderId="0" xfId="1546" applyNumberFormat="1" applyFont="1" applyAlignment="1">
      <alignment horizontal="left" vertical="center" indent="1"/>
    </xf>
    <xf numFmtId="0" fontId="13" fillId="0" borderId="0" xfId="1241" applyNumberFormat="1" applyFont="1" applyAlignment="1">
      <alignment horizontal="center" vertical="center"/>
    </xf>
    <xf numFmtId="186" fontId="7" fillId="0" borderId="61" xfId="2008" applyNumberFormat="1" applyFont="1" applyFill="1" applyBorder="1" applyAlignment="1">
      <alignment horizontal="center" vertical="center"/>
    </xf>
    <xf numFmtId="186" fontId="20" fillId="0" borderId="0" xfId="2011" applyNumberFormat="1" applyFont="1" applyFill="1" applyAlignment="1">
      <alignment horizontal="right" vertical="center"/>
    </xf>
    <xf numFmtId="180" fontId="7" fillId="0" borderId="0" xfId="1546" applyNumberFormat="1" applyAlignment="1">
      <alignment horizontal="center" vertical="center"/>
    </xf>
    <xf numFmtId="0" fontId="13" fillId="83" borderId="0" xfId="1546" applyFont="1" applyFill="1" applyAlignment="1">
      <alignment vertical="center"/>
    </xf>
    <xf numFmtId="0" fontId="7" fillId="83" borderId="0" xfId="1546" applyFill="1" applyAlignment="1">
      <alignment horizontal="center" vertical="center"/>
    </xf>
    <xf numFmtId="2" fontId="7" fillId="83" borderId="0" xfId="1546" applyNumberFormat="1" applyFill="1" applyAlignment="1">
      <alignment vertical="center"/>
    </xf>
    <xf numFmtId="0" fontId="7" fillId="83" borderId="0" xfId="1546" applyFill="1" applyAlignment="1">
      <alignment vertical="center"/>
    </xf>
    <xf numFmtId="180" fontId="13" fillId="0" borderId="0" xfId="1546" applyNumberFormat="1" applyFont="1" applyAlignment="1">
      <alignment horizontal="center" vertical="center"/>
    </xf>
    <xf numFmtId="0" fontId="13" fillId="0" borderId="0" xfId="1546" applyFont="1" applyAlignment="1">
      <alignment horizontal="left" vertical="center"/>
    </xf>
    <xf numFmtId="2" fontId="7" fillId="0" borderId="0" xfId="1546" applyNumberFormat="1" applyFill="1" applyAlignment="1">
      <alignment vertical="center"/>
    </xf>
    <xf numFmtId="0" fontId="7" fillId="0" borderId="0" xfId="1546" applyFill="1" applyAlignment="1">
      <alignment vertical="center"/>
    </xf>
    <xf numFmtId="0" fontId="13" fillId="84" borderId="0" xfId="1546" applyFont="1" applyFill="1" applyAlignment="1">
      <alignment horizontal="center" vertical="center"/>
    </xf>
    <xf numFmtId="186" fontId="13" fillId="0" borderId="61" xfId="2008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181" fontId="13" fillId="0" borderId="0" xfId="1546" applyNumberFormat="1" applyFont="1" applyFill="1" applyAlignment="1">
      <alignment horizontal="left" vertical="center" indent="1"/>
    </xf>
    <xf numFmtId="181" fontId="13" fillId="0" borderId="0" xfId="1546" applyNumberFormat="1" applyFont="1" applyFill="1" applyAlignment="1">
      <alignment horizontal="left" vertical="center" indent="2"/>
    </xf>
    <xf numFmtId="180" fontId="7" fillId="0" borderId="0" xfId="1546" applyNumberFormat="1" applyFont="1" applyFill="1" applyAlignment="1">
      <alignment horizontal="center" vertical="center"/>
    </xf>
    <xf numFmtId="188" fontId="19" fillId="85" borderId="0" xfId="0" applyNumberFormat="1" applyFont="1" applyFill="1" applyBorder="1" applyAlignment="1">
      <alignment vertical="center"/>
    </xf>
    <xf numFmtId="188" fontId="19" fillId="0" borderId="0" xfId="0" applyNumberFormat="1" applyFont="1" applyFill="1" applyBorder="1" applyAlignment="1">
      <alignment vertical="center"/>
    </xf>
    <xf numFmtId="188" fontId="20" fillId="85" borderId="0" xfId="0" applyNumberFormat="1" applyFont="1" applyFill="1" applyBorder="1" applyAlignment="1">
      <alignment vertical="center"/>
    </xf>
    <xf numFmtId="188" fontId="20" fillId="0" borderId="0" xfId="0" applyNumberFormat="1" applyFont="1" applyFill="1" applyBorder="1" applyAlignment="1">
      <alignment vertical="center"/>
    </xf>
    <xf numFmtId="264" fontId="19" fillId="85" borderId="62" xfId="0" applyNumberFormat="1" applyFont="1" applyFill="1" applyBorder="1" applyAlignment="1">
      <alignment vertical="center"/>
    </xf>
    <xf numFmtId="264" fontId="20" fillId="85" borderId="62" xfId="0" applyNumberFormat="1" applyFont="1" applyFill="1" applyBorder="1" applyAlignment="1">
      <alignment vertical="center"/>
    </xf>
    <xf numFmtId="264" fontId="19" fillId="0" borderId="0" xfId="0" applyNumberFormat="1" applyFont="1" applyFill="1" applyAlignment="1">
      <alignment horizontal="right" vertical="center"/>
    </xf>
    <xf numFmtId="264" fontId="19" fillId="85" borderId="0" xfId="0" applyNumberFormat="1" applyFont="1" applyFill="1" applyBorder="1" applyAlignment="1">
      <alignment vertical="center"/>
    </xf>
    <xf numFmtId="264" fontId="20" fillId="85" borderId="0" xfId="0" applyNumberFormat="1" applyFont="1" applyFill="1" applyBorder="1" applyAlignment="1">
      <alignment vertical="center"/>
    </xf>
    <xf numFmtId="264" fontId="20" fillId="0" borderId="0" xfId="0" applyNumberFormat="1" applyFont="1" applyFill="1" applyAlignment="1">
      <alignment horizontal="right" vertical="center"/>
    </xf>
    <xf numFmtId="0" fontId="12" fillId="0" borderId="0" xfId="2009" applyFont="1" applyAlignment="1">
      <alignment vertical="center"/>
    </xf>
    <xf numFmtId="0" fontId="20" fillId="0" borderId="0" xfId="0" applyFont="1" applyAlignment="1">
      <alignment vertical="center"/>
    </xf>
    <xf numFmtId="265" fontId="19" fillId="0" borderId="0" xfId="0" applyNumberFormat="1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Continuous" vertical="center"/>
    </xf>
    <xf numFmtId="172" fontId="62" fillId="0" borderId="64" xfId="0" applyNumberFormat="1" applyFont="1" applyFill="1" applyBorder="1" applyAlignment="1">
      <alignment horizontal="left" wrapText="1"/>
    </xf>
    <xf numFmtId="172" fontId="63" fillId="82" borderId="65" xfId="0" quotePrefix="1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Continuous" vertical="center"/>
    </xf>
    <xf numFmtId="0" fontId="19" fillId="0" borderId="63" xfId="0" applyFont="1" applyBorder="1" applyAlignment="1">
      <alignment horizontal="left" vertical="center" wrapText="1"/>
    </xf>
    <xf numFmtId="188" fontId="19" fillId="85" borderId="66" xfId="0" applyNumberFormat="1" applyFont="1" applyFill="1" applyBorder="1" applyAlignment="1">
      <alignment vertical="center"/>
    </xf>
    <xf numFmtId="188" fontId="19" fillId="0" borderId="63" xfId="0" applyNumberFormat="1" applyFont="1" applyFill="1" applyBorder="1" applyAlignment="1">
      <alignment vertical="center"/>
    </xf>
    <xf numFmtId="172" fontId="196" fillId="86" borderId="67" xfId="0" quotePrefix="1" applyNumberFormat="1" applyFont="1" applyFill="1" applyBorder="1" applyAlignment="1">
      <alignment horizontal="right" vertical="center" wrapText="1"/>
    </xf>
    <xf numFmtId="265" fontId="19" fillId="0" borderId="0" xfId="0" quotePrefix="1" applyNumberFormat="1" applyFont="1" applyFill="1" applyBorder="1" applyAlignment="1">
      <alignment horizontal="centerContinuous" vertical="center"/>
    </xf>
    <xf numFmtId="188" fontId="19" fillId="83" borderId="0" xfId="0" applyNumberFormat="1" applyFont="1" applyFill="1" applyBorder="1" applyAlignment="1">
      <alignment vertical="center"/>
    </xf>
    <xf numFmtId="186" fontId="19" fillId="85" borderId="66" xfId="0" applyNumberFormat="1" applyFont="1" applyFill="1" applyBorder="1" applyAlignment="1">
      <alignment vertical="center"/>
    </xf>
    <xf numFmtId="186" fontId="19" fillId="0" borderId="68" xfId="0" applyNumberFormat="1" applyFont="1" applyFill="1" applyBorder="1" applyAlignment="1">
      <alignment vertical="center"/>
    </xf>
    <xf numFmtId="0" fontId="19" fillId="0" borderId="68" xfId="0" applyFont="1" applyBorder="1" applyAlignment="1">
      <alignment horizontal="left" vertical="center" wrapText="1"/>
    </xf>
    <xf numFmtId="15" fontId="19" fillId="73" borderId="26" xfId="0" quotePrefix="1" applyNumberFormat="1" applyFont="1" applyFill="1" applyBorder="1" applyAlignment="1">
      <alignment horizontal="center"/>
    </xf>
    <xf numFmtId="15" fontId="19" fillId="73" borderId="26" xfId="0" applyNumberFormat="1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/>
    </xf>
    <xf numFmtId="15" fontId="19" fillId="0" borderId="26" xfId="0" quotePrefix="1" applyNumberFormat="1" applyFont="1" applyFill="1" applyBorder="1" applyAlignment="1">
      <alignment horizontal="center"/>
    </xf>
    <xf numFmtId="15" fontId="19" fillId="0" borderId="26" xfId="0" applyNumberFormat="1" applyFont="1" applyFill="1" applyBorder="1" applyAlignment="1">
      <alignment horizontal="center"/>
    </xf>
    <xf numFmtId="15" fontId="26" fillId="73" borderId="26" xfId="0" quotePrefix="1" applyNumberFormat="1" applyFont="1" applyFill="1" applyBorder="1" applyAlignment="1">
      <alignment horizontal="center"/>
    </xf>
    <xf numFmtId="15" fontId="26" fillId="73" borderId="26" xfId="0" applyNumberFormat="1" applyFont="1" applyFill="1" applyBorder="1" applyAlignment="1">
      <alignment horizontal="center"/>
    </xf>
    <xf numFmtId="15" fontId="26" fillId="0" borderId="26" xfId="0" quotePrefix="1" applyNumberFormat="1" applyFont="1" applyFill="1" applyBorder="1" applyAlignment="1">
      <alignment horizontal="center"/>
    </xf>
    <xf numFmtId="0" fontId="26" fillId="0" borderId="26" xfId="0" applyFont="1" applyFill="1" applyBorder="1" applyAlignment="1">
      <alignment horizontal="center"/>
    </xf>
    <xf numFmtId="0" fontId="92" fillId="58" borderId="0" xfId="1670" applyFont="1" applyFill="1" applyAlignment="1">
      <alignment horizontal="left" vertical="center" wrapText="1"/>
    </xf>
    <xf numFmtId="0" fontId="7" fillId="0" borderId="0" xfId="1546" applyAlignment="1">
      <alignment horizontal="left" vertical="center" wrapText="1"/>
    </xf>
  </cellXfs>
  <cellStyles count="2871">
    <cellStyle name="# ##0" xfId="1"/>
    <cellStyle name="# ##0 2" xfId="2"/>
    <cellStyle name="# ##0 3" xfId="3"/>
    <cellStyle name="# ##0 4" xfId="4"/>
    <cellStyle name="# ##0 5" xfId="5"/>
    <cellStyle name="# ##0 6" xfId="6"/>
    <cellStyle name="# ##0 7" xfId="7"/>
    <cellStyle name="# ##0 8" xfId="8"/>
    <cellStyle name="# ##0 9" xfId="9"/>
    <cellStyle name="# ##0,0" xfId="10"/>
    <cellStyle name="%" xfId="11"/>
    <cellStyle name="% 2" xfId="12"/>
    <cellStyle name="% 2 2" xfId="13"/>
    <cellStyle name="% 2 3" xfId="14"/>
    <cellStyle name="% 2 4" xfId="15"/>
    <cellStyle name="% 2 5" xfId="16"/>
    <cellStyle name="% 2 6" xfId="17"/>
    <cellStyle name="% 2 7" xfId="18"/>
    <cellStyle name="% 2 8" xfId="19"/>
    <cellStyle name="% 2 9" xfId="20"/>
    <cellStyle name="% 2_Feuil1" xfId="21"/>
    <cellStyle name="% 3" xfId="22"/>
    <cellStyle name="% 3 2" xfId="23"/>
    <cellStyle name="% 3 3" xfId="24"/>
    <cellStyle name="% 3 4" xfId="25"/>
    <cellStyle name="% 3 5" xfId="26"/>
    <cellStyle name="% 3 6" xfId="27"/>
    <cellStyle name="% 3 7" xfId="28"/>
    <cellStyle name="% 3 8" xfId="29"/>
    <cellStyle name="% 3 9" xfId="30"/>
    <cellStyle name="% 3_Feuil1" xfId="31"/>
    <cellStyle name="% 4" xfId="32"/>
    <cellStyle name="% 4 2" xfId="33"/>
    <cellStyle name="% 4 3" xfId="34"/>
    <cellStyle name="% 4 4" xfId="35"/>
    <cellStyle name="% 4 5" xfId="36"/>
    <cellStyle name="% 4 6" xfId="37"/>
    <cellStyle name="% 4 7" xfId="38"/>
    <cellStyle name="% 4 8" xfId="39"/>
    <cellStyle name="% 4 9" xfId="40"/>
    <cellStyle name="% 4_Feuil1" xfId="41"/>
    <cellStyle name="% 5" xfId="42"/>
    <cellStyle name="% 5 2" xfId="43"/>
    <cellStyle name="% 5 3" xfId="44"/>
    <cellStyle name="% 5 4" xfId="45"/>
    <cellStyle name="% 5 5" xfId="46"/>
    <cellStyle name="% 5 6" xfId="47"/>
    <cellStyle name="% 5 7" xfId="48"/>
    <cellStyle name="% 5 8" xfId="49"/>
    <cellStyle name="% 5 9" xfId="50"/>
    <cellStyle name="% 5_Feuil1" xfId="51"/>
    <cellStyle name="% 6" xfId="52"/>
    <cellStyle name="% 6 2" xfId="53"/>
    <cellStyle name="% 6 3" xfId="54"/>
    <cellStyle name="% 6 4" xfId="55"/>
    <cellStyle name="% 6 5" xfId="56"/>
    <cellStyle name="% 6 6" xfId="57"/>
    <cellStyle name="% 6 7" xfId="58"/>
    <cellStyle name="% 6 8" xfId="59"/>
    <cellStyle name="% 6 9" xfId="60"/>
    <cellStyle name="% 6_Feuil1" xfId="61"/>
    <cellStyle name="% 7" xfId="62"/>
    <cellStyle name="% 7 2" xfId="63"/>
    <cellStyle name="% 7 3" xfId="64"/>
    <cellStyle name="% 7 4" xfId="65"/>
    <cellStyle name="% 7 5" xfId="66"/>
    <cellStyle name="% 7 6" xfId="67"/>
    <cellStyle name="% 7 7" xfId="68"/>
    <cellStyle name="% 7 8" xfId="69"/>
    <cellStyle name="% 7 9" xfId="70"/>
    <cellStyle name="% 7_Feuil1" xfId="71"/>
    <cellStyle name="% 8" xfId="72"/>
    <cellStyle name="% 9" xfId="73"/>
    <cellStyle name="%_05_ZZZImmobilisations_Backup 2009-12" xfId="74"/>
    <cellStyle name="%_A2. SE" xfId="75"/>
    <cellStyle name="%_A4. DEVISES" xfId="76"/>
    <cellStyle name="%_B4- Titres des sociétés mises en équivalence" xfId="77"/>
    <cellStyle name="%_B5 - titres AFS 090731_1230" xfId="78"/>
    <cellStyle name="%_B5.3 - B5 3 - Actifs Financiers_CM_20090731" xfId="79"/>
    <cellStyle name="%_B6 - Provisions BrochureGroupeCV version4 3007" xfId="80"/>
    <cellStyle name="%_B7. ENDETTEMENTFI" xfId="81"/>
    <cellStyle name="%_Branche-Step2RetrieveTemp" xfId="82"/>
    <cellStyle name="%_Branche-Temp-Brochure_090608_1700" xfId="83"/>
    <cellStyle name="%_Brochure BEF - Mars 09 VChS" xfId="84"/>
    <cellStyle name="%_BrochureGroupe1_090727_1600" xfId="85"/>
    <cellStyle name="%_BrochureGroupe1_090727_1600_Centralisation_090807_1800" xfId="86"/>
    <cellStyle name="%_BrochureGroupe1_090727_1600_F6. EBITDA-MBAO" xfId="87"/>
    <cellStyle name="%_BrochureGroupe1_090727_1600_R4G" xfId="88"/>
    <cellStyle name="%_BrochureGroupe1_2009.12_091210_2000" xfId="89"/>
    <cellStyle name="%_BrochureGroupe3_090612_1500" xfId="90"/>
    <cellStyle name="%_BrochureGroupe4_2009.12_(Bilan)" xfId="91"/>
    <cellStyle name="%_Capex Fin M12 2008 CCV 21-01 déf" xfId="92"/>
    <cellStyle name="%_Capex Fin M12 2008 CCV 21-01 déf_05_ZZZImmobilisations_Backup 2009-12" xfId="93"/>
    <cellStyle name="%_Capex Fin M12 2008 CCV 21-01 déf_A2. SE" xfId="94"/>
    <cellStyle name="%_Capex Fin M12 2008 CCV 21-01 déf_A4. DEVISES" xfId="95"/>
    <cellStyle name="%_Capex Fin M12 2008 CCV 21-01 déf_B4- Titres des sociétés mises en équivalence" xfId="96"/>
    <cellStyle name="%_Capex Fin M12 2008 CCV 21-01 déf_B5 - titres AFS 090731_1230" xfId="97"/>
    <cellStyle name="%_Capex Fin M12 2008 CCV 21-01 déf_B5.3 - B5 3 - Actifs Financiers_CM_20090731" xfId="98"/>
    <cellStyle name="%_Capex Fin M12 2008 CCV 21-01 déf_B6 - Provisions BrochureGroupeCV version4 3007" xfId="99"/>
    <cellStyle name="%_Capex Fin M12 2008 CCV 21-01 déf_B7. ENDETTEMENTFI" xfId="100"/>
    <cellStyle name="%_Capex Fin M12 2008 CCV 21-01 déf_Branche-Step2RetrieveTemp" xfId="101"/>
    <cellStyle name="%_Capex Fin M12 2008 CCV 21-01 déf_BrochureGroupe1_090727_1600" xfId="102"/>
    <cellStyle name="%_Capex Fin M12 2008 CCV 21-01 déf_BrochureGroupe1_090727_1600_Centralisation_090807_1800" xfId="103"/>
    <cellStyle name="%_Capex Fin M12 2008 CCV 21-01 déf_BrochureGroupe1_090727_1600_F6. EBITDA-MBAO" xfId="104"/>
    <cellStyle name="%_Capex Fin M12 2008 CCV 21-01 déf_BrochureGroupe1_090727_1600_R4G" xfId="105"/>
    <cellStyle name="%_Capex Fin M12 2008 CCV 21-01 déf_BrochureGroupe1_2009.12_091210_2000" xfId="106"/>
    <cellStyle name="%_Capex Fin M12 2008 CCV 21-01 déf_BrochureGroupe3_090612_1500" xfId="107"/>
    <cellStyle name="%_Capex Fin M12 2008 CCV 21-01 déf_BrochureGroupe4_2009.12_(Bilan)" xfId="108"/>
    <cellStyle name="%_Capex Fin M12 2008 CCV 21-01 déf_E4 - ENL 2009.06" xfId="109"/>
    <cellStyle name="%_Capex Fin M12 2008 CCV 21-01 déf_F1&amp;F2. MBAO&amp;CAPEX" xfId="110"/>
    <cellStyle name="%_Capex Fin M12 2008 CCV 21-01 déf_F3 - Passage du P&amp;L au TF" xfId="111"/>
    <cellStyle name="%_Capex Fin M12 2008 CCV 21-01 déf_F3. CESSIONS" xfId="112"/>
    <cellStyle name="%_Capex Fin M12 2008 CCV 21-01 déf_F4. BFR" xfId="113"/>
    <cellStyle name="%_Capex Fin M12 2008 CCV 21-01 déf_F6. EBITDA-MBAO" xfId="114"/>
    <cellStyle name="%_Capex Fin M12 2008 CCV 21-01 déf_G1-A2 - VAR DE PERIMETRE" xfId="115"/>
    <cellStyle name="%_Capex Fin M12 2008 CCV 21-01 déf_G4G" xfId="116"/>
    <cellStyle name="%_Capex Fin M12 2008 CCV 21-01 déf_G6" xfId="117"/>
    <cellStyle name="%_Capex Fin M12 2008 CCV 21-01 déf_G6_Endettement net &amp; Gearing_20090729" xfId="118"/>
    <cellStyle name="%_Capex Fin M12 2008 CCV 21-01 déf_GRAPH ENL - V3" xfId="119"/>
    <cellStyle name="%_Capex Fin M12 2008 CCV 21-01 déf_H" xfId="120"/>
    <cellStyle name="%_Capex Fin M12 2008 CCV 21-01 déf_Périmètre MEE_Bilan et CR" xfId="121"/>
    <cellStyle name="%_Capex Fin M12 2008 CCV 21-01 déf_R1G" xfId="122"/>
    <cellStyle name="%_Capex Fin M12 2008 CCV 21-01 déf_R2G" xfId="123"/>
    <cellStyle name="%_Capex Fin M12 2008 CCV 21-01 déf_R7- Résultat des sociétés associées" xfId="124"/>
    <cellStyle name="%_Capex Fin M12 2008 CCV 21-01 déf_R7- Résultat des sociétés associées_091022" xfId="125"/>
    <cellStyle name="%_Copy of Note DCPC réel Juin 2009 - états transverses - v1.6" xfId="126"/>
    <cellStyle name="%_E4 - ENL 2009.06" xfId="127"/>
    <cellStyle name="%_F1&amp;F2. MBAO&amp;CAPEX" xfId="128"/>
    <cellStyle name="%_F3 - Passage du P&amp;L au TF" xfId="129"/>
    <cellStyle name="%_F3. CESSIONS" xfId="130"/>
    <cellStyle name="%_F4. BFR" xfId="131"/>
    <cellStyle name="%_F6. EBITDA-MBAO" xfId="132"/>
    <cellStyle name="%_G1-A2 - VAR DE PERIMETRE" xfId="133"/>
    <cellStyle name="%_G2.2" xfId="134"/>
    <cellStyle name="%_G2.2 2" xfId="135"/>
    <cellStyle name="%_G2.2 3" xfId="136"/>
    <cellStyle name="%_G2.2 4" xfId="137"/>
    <cellStyle name="%_G2.2 5" xfId="138"/>
    <cellStyle name="%_G4G" xfId="139"/>
    <cellStyle name="%_G6" xfId="140"/>
    <cellStyle name="%_G6_Endettement net &amp; Gearing_20090729" xfId="141"/>
    <cellStyle name="%_GRAPH ENL - V3" xfId="142"/>
    <cellStyle name="%_H" xfId="143"/>
    <cellStyle name="%_Note DCPC réel Juin 2009 - états spécifiques - B3G - v1.6" xfId="144"/>
    <cellStyle name="%_Note DCPC réel Juin 2009 - états spécifiques - B3G - v1.6_G2.2" xfId="145"/>
    <cellStyle name="%_Note DCPC réel Juin 2009 - états spécifiques - B3G - v1.6_G2.2 2" xfId="146"/>
    <cellStyle name="%_Note DCPC réel Juin 2009 - états spécifiques - B3G - v1.6_G2.2 3" xfId="147"/>
    <cellStyle name="%_Note DCPC réel Juin 2009 - états spécifiques - B3G - v1.6_G2.2 4" xfId="148"/>
    <cellStyle name="%_Note DCPC réel Juin 2009 - états spécifiques - B3G - v1.6_G2.2 5" xfId="149"/>
    <cellStyle name="%_Note DCPC réel Juin 2009 - états spécifiques - B3G - v1.6_G2g - NoteG" xfId="150"/>
    <cellStyle name="%_Note DCPC réel Juin 2009 - états spécifiques - B3G - v1.6_G2g - Tableaux de passage EBITDA ROC" xfId="151"/>
    <cellStyle name="%_Note DCPC réel Juin 2009 - états spécifiques - B3G - v1.6_G2g4 - Tableaux de passage EBITDA ROC" xfId="152"/>
    <cellStyle name="%_Note DCPC réel Juin 2009 - états transverses - v1.6" xfId="153"/>
    <cellStyle name="%_Note DCPC réel Septembre 2009 - états transverses - v1.1" xfId="154"/>
    <cellStyle name="%_Note DCPC Visée 3 2009 - états transverses - v1" xfId="155"/>
    <cellStyle name="%_Périmètre MEE_Bilan et CR" xfId="156"/>
    <cellStyle name="%_R1G" xfId="157"/>
    <cellStyle name="%_R2G" xfId="158"/>
    <cellStyle name="%_R7- Résultat des sociétés associées" xfId="159"/>
    <cellStyle name="%_R7- Résultat des sociétés associées_091022" xfId="160"/>
    <cellStyle name="%_Retrieve TFT  ENL (2)" xfId="161"/>
    <cellStyle name="??" xfId="162"/>
    <cellStyle name="?? [0.00]_PRODUCT DETAIL Q1" xfId="163"/>
    <cellStyle name="?? [0]_??" xfId="164"/>
    <cellStyle name="???? [0.00]_PRODUCT DETAIL Q1" xfId="165"/>
    <cellStyle name="????_PRODUCT DETAIL Q1" xfId="166"/>
    <cellStyle name="??_(????)??????" xfId="167"/>
    <cellStyle name="_$Rollup77" xfId="168"/>
    <cellStyle name="_5-yr Pre-tax Inc011702" xfId="169"/>
    <cellStyle name="_Cili_2003 Budget Chigen" xfId="170"/>
    <cellStyle name="_Comma" xfId="171"/>
    <cellStyle name="_Currency" xfId="172"/>
    <cellStyle name="_Currency_Senior Notes April 3" xfId="173"/>
    <cellStyle name="_CurrencySpace" xfId="174"/>
    <cellStyle name="_CurrencySpace 2" xfId="175"/>
    <cellStyle name="_CurrencySpace 3" xfId="176"/>
    <cellStyle name="_CurrencySpace 4" xfId="177"/>
    <cellStyle name="_CurrencySpace 5" xfId="178"/>
    <cellStyle name="_CurrencySpace 6" xfId="179"/>
    <cellStyle name="_Data" xfId="180"/>
    <cellStyle name="_EPS Oct01Bud" xfId="181"/>
    <cellStyle name="_ForecastToday v4" xfId="182"/>
    <cellStyle name="_Granbury-F-Machine" xfId="183"/>
    <cellStyle name="_Granite" xfId="184"/>
    <cellStyle name="_Ironwood" xfId="185"/>
    <cellStyle name="_Ironwood_LB36a" xfId="186"/>
    <cellStyle name="_Multiple" xfId="187"/>
    <cellStyle name="_MultipleSpace" xfId="188"/>
    <cellStyle name="_NA_IS" xfId="189"/>
    <cellStyle name="_Other_data022802" xfId="190"/>
    <cellStyle name="_Output" xfId="191"/>
    <cellStyle name="_Percent" xfId="192"/>
    <cellStyle name="_PercentSpace" xfId="193"/>
    <cellStyle name="_TableHead" xfId="194"/>
    <cellStyle name="_TableHead_AX1-E2_taux" xfId="195"/>
    <cellStyle name="_TableHead_AX1-E2_taux_AX1 E1 Taux" xfId="196"/>
    <cellStyle name="_TableHead_AX1-E2_taux_Brochure_Annexes_081118_1800" xfId="197"/>
    <cellStyle name="_TableHead_AX1-E2_taux_Périmètre HFM décembre 2007 yc code SMART" xfId="198"/>
    <cellStyle name="_TableHead_AX1-E2_taux_Périmètre HFM décembre 2008 yc code SMART" xfId="199"/>
    <cellStyle name="_TableHead_AX1-E3_Bilan2007-12 retraité_2008M9" xfId="200"/>
    <cellStyle name="_TableHead_AX1-E3_Bilan2007-12 retraité_2008M9_AX1 E1 Taux" xfId="201"/>
    <cellStyle name="_TableHead_AX1-E3_Bilan2007-12 retraité_2008M9_Brochure_Annexes_081118_1800" xfId="202"/>
    <cellStyle name="_TableHead_AX1-E3_Bilan2007-12 retraité_2008M9_Périmètre HFM décembre 2007 yc code SMART" xfId="203"/>
    <cellStyle name="_TableHead_AX1-E3_Bilan2007-12 retraité_2008M9_Périmètre HFM décembre 2008 yc code SMART" xfId="204"/>
    <cellStyle name="_TableHead_AX4-AX5_081127_1600" xfId="205"/>
    <cellStyle name="_TableHead_B_090430_1300" xfId="206"/>
    <cellStyle name="_TableHead_B_090430_1300_Branche-Step2RetrieveTemp" xfId="207"/>
    <cellStyle name="_TableHead_B1 - Capitaux propres_ 26012009_18h46" xfId="208"/>
    <cellStyle name="_TableHead_B10 au 31.12.2008 version Brochure du 03.02.2008 à 07h50" xfId="209"/>
    <cellStyle name="_TableHead_B4.1 Synthese pour brochure 270109 valide " xfId="210"/>
    <cellStyle name="_TableHead_B4.2- Evolution_Ecarts_d'acquisition_2008 270109 VALIDE" xfId="211"/>
    <cellStyle name="_TableHead_B7 - Endettement financier + analyses des flux de var 20090616" xfId="212"/>
    <cellStyle name="_TableHead_B7.1 - Ventilation des dettes par origine, nature et échéance 20090616" xfId="213"/>
    <cellStyle name="_TableHead_B7.2 -  Ventilation des dettes par origine et par destination 20090616" xfId="214"/>
    <cellStyle name="_TableHead_B8 - Provisions_Risques_Charges_figée2 " xfId="215"/>
    <cellStyle name="_TableHead_B8 - Provisions_Risques_Charges_figée2 _ENL proforma 2008.06" xfId="216"/>
    <cellStyle name="_TableHead_B8.4 Provisions_Risques_Charges_figée envoyé V2" xfId="217"/>
    <cellStyle name="_TableHead_Book_Tot_090126_1530" xfId="218"/>
    <cellStyle name="_TableHead_Book_Tot_090126_1800" xfId="219"/>
    <cellStyle name="_TableHead_Book2" xfId="220"/>
    <cellStyle name="_TableHead_BookCrossValidation _ BEF _ M32009" xfId="221"/>
    <cellStyle name="_TableHead_Brochure Périmètre Juin 2008" xfId="222"/>
    <cellStyle name="_TableHead_Brochure Périmètre Juin 2008_AX4-AX5_081127_1600" xfId="223"/>
    <cellStyle name="_TableHead_Brochure Périmètre Juin 2008_B1 - Capitaux propres_ 26012009_18h46" xfId="224"/>
    <cellStyle name="_TableHead_Brochure Périmètre Juin 2008_Book_Tot_090126_1530" xfId="225"/>
    <cellStyle name="_TableHead_Brochure Périmètre Juin 2008_Book_Tot_090126_1800" xfId="226"/>
    <cellStyle name="_TableHead_Brochure Périmètre Juin 2008_BookCrossValidation _ BEF _ M32009" xfId="227"/>
    <cellStyle name="_TableHead_Brochure_B10_Endettement_Synthèse et par flux GDFSUEZ_vDEF3_RoB" xfId="228"/>
    <cellStyle name="_TableHead_Brochure_B11_Endettement_Net_Détaillé_par_entité_vDEF3" xfId="229"/>
    <cellStyle name="_TableHead_Brochure_B12_Endettement_Net_par_origine _vDEF3_RoB" xfId="230"/>
    <cellStyle name="_TableHead_Brochure_Synthèse_081028_2200" xfId="231"/>
    <cellStyle name="_TableHead_Brochure_TF_090202_1300 M12 2008" xfId="232"/>
    <cellStyle name="_TableHead_CAPEX corp et fin vdéf déf 06-02" xfId="233"/>
    <cellStyle name="_TableHead_Capex Fin M12 2008 CCV 21-01 déf" xfId="234"/>
    <cellStyle name="_TableHead_Classeur2" xfId="235"/>
    <cellStyle name="_TableHead_Détail capex fin  format SMART déf 29-01 post medgaz" xfId="236"/>
    <cellStyle name="_TableHead_Ecart budget 20090123" xfId="237"/>
    <cellStyle name="_TableHead_Effets sur les indicateurs-copie valeur v27-10-2008" xfId="238"/>
    <cellStyle name="_TableHead_Effets sur les indicateurs-copie valeur v27-10-2008_B1 - Capitaux propres_ 26012009_18h46" xfId="239"/>
    <cellStyle name="_TableHead_ENL proforma 2008.06" xfId="240"/>
    <cellStyle name="_TableHead_F2 -VALEUR 270109" xfId="241"/>
    <cellStyle name="_TableHead_Feuil1" xfId="242"/>
    <cellStyle name="_TableHead_Get Mag" xfId="243"/>
    <cellStyle name="_TableHead_Note B5 - Tableau de variation et commentaires - 28 01 09 " xfId="244"/>
    <cellStyle name="_TableHead_Note B5 - Tableau de variation et commentaires -02 02 09 " xfId="245"/>
    <cellStyle name="_TableHead_Note B5 - Tableau de variation et commentaires -03 02 09 " xfId="246"/>
    <cellStyle name="_TableHead_Note B5 VDEF" xfId="247"/>
    <cellStyle name="_TableHead_Note B5 VDEF_ENL proforma 2008.06" xfId="248"/>
    <cellStyle name="_TableHead_Périmètre" xfId="249"/>
    <cellStyle name="_TableHead_Q4 Retrieve_Brochure_R6 - Résultat_financier GDFSUEZ vCopié Collé3 Vdef" xfId="250"/>
    <cellStyle name="_TableHead_Q4 Retrieve_Brochure_R6 - Résultat_financier GDFSUEZ vCopié Collé3 Vdef_ENL proforma 2008.06" xfId="251"/>
    <cellStyle name="_TableHead_Q4 Retrieve_Brochure_R6 - Résultat_financier GDFSUEZ vCopié Collé3 Vdef2" xfId="252"/>
    <cellStyle name="_TableHead_R_090430_1300" xfId="253"/>
    <cellStyle name="_TableHead_R_090430_1300_BrochureGroupe_090513_1745" xfId="254"/>
    <cellStyle name="_TableHead_R_090430_1300_BrochureGroupe_090513_1745_Branche-Step2RetrieveTemp" xfId="255"/>
    <cellStyle name="_TableHead_R3 - Amortissements_Provisions_RETRIEVE figée2" xfId="256"/>
    <cellStyle name="_TableHead_R3 - Amortissements_Provisions_RETRIEVE figée2_ENL proforma 2008.06" xfId="257"/>
    <cellStyle name="_TableHead_R4 - Amortissements_Provisions_20081022_1830 VALIDE" xfId="258"/>
    <cellStyle name="_TableHead_R4 - Amortissements_Provisions_20081022_1830 VALIDE_brochure_impot_M12_2008_3001 Vdef" xfId="259"/>
    <cellStyle name="_TableHead_R4 - Amortissements_Provisions_20081022_1830 VALIDE_brochure_impot_M12_2008_3001 Vfed" xfId="260"/>
    <cellStyle name="_TableHead_R4 - Amortissements_Provisions_20081022_1830 VALIDE_ENL proforma 2008.06" xfId="261"/>
    <cellStyle name="_TableHead_R6 - Résultat Financier_20090616" xfId="262"/>
    <cellStyle name="_TableHead_R6 - Résultat Financier_20090616_R6.2" xfId="263"/>
    <cellStyle name="_TableHead_R6 - Résultat Financier_20090616_R6_090806" xfId="264"/>
    <cellStyle name="_TableHead_R6 - Résultat Financier_20090616_R6_090806_R1.RETRIEVE" xfId="265"/>
    <cellStyle name="_TableHead_R6- Résultat_financier_2008.M9 CC Valeur" xfId="266"/>
    <cellStyle name="_TableHead_R6- Résultat_financier_2008.M9 CC Valeur_AX1 E1 Taux" xfId="267"/>
    <cellStyle name="_TableHead_R6- Résultat_financier_2008.M9 CC Valeur_Brochure_Annexes_081118_1800" xfId="268"/>
    <cellStyle name="_TableHead_R6- Résultat_financier_2008.M9 CC Valeur_Périmètre HFM décembre 2007 yc code SMART" xfId="269"/>
    <cellStyle name="_TableHead_R6- Résultat_financier_2008.M9 CC Valeur_Périmètre HFM décembre 2008 yc code SMART" xfId="270"/>
    <cellStyle name="_TableHead_Retrieve TFT  ENL (2)" xfId="271"/>
    <cellStyle name="_TableHead_Sheet1" xfId="272"/>
    <cellStyle name="_TableHead_TEI_RETRIEVE2008-09_valeur 22-10-08 11h" xfId="273"/>
    <cellStyle name="_TableHead_TEI_RETRIEVE2008-09_valeur 22-10-08 11h_AX1 E1 Taux" xfId="274"/>
    <cellStyle name="_TableHead_TEI_RETRIEVE2008-09_valeur 22-10-08 11h_Brochure_Annexes_081118_1800" xfId="275"/>
    <cellStyle name="_TableHead_TEI_RETRIEVE2008-09_valeur 22-10-08 11h_Périmètre HFM décembre 2007 yc code SMART" xfId="276"/>
    <cellStyle name="_TableHead_TEI_RETRIEVE2008-09_valeur 22-10-08 11h_Périmètre HFM décembre 2008 yc code SMART" xfId="277"/>
    <cellStyle name="£ BP" xfId="364"/>
    <cellStyle name="¥ JY" xfId="365"/>
    <cellStyle name="€" xfId="366"/>
    <cellStyle name="=C:\WINNT\SYSTEM32\COMMAND.COM" xfId="278"/>
    <cellStyle name="=C:\WINNT\SYSTEM32\COMMAND.COM 2" xfId="279"/>
    <cellStyle name="=C:\WINNT\SYSTEM32\COMMAND.COM 2 2" xfId="280"/>
    <cellStyle name="=C:\WINNT\SYSTEM32\COMMAND.COM 2 3" xfId="281"/>
    <cellStyle name="=C:\WINNT\SYSTEM32\COMMAND.COM 2 4" xfId="282"/>
    <cellStyle name="=C:\WINNT\SYSTEM32\COMMAND.COM 2 5" xfId="283"/>
    <cellStyle name="=C:\WINNT\SYSTEM32\COMMAND.COM 2 6" xfId="284"/>
    <cellStyle name="=C:\WINNT\SYSTEM32\COMMAND.COM 2 7" xfId="285"/>
    <cellStyle name="=C:\WINNT\SYSTEM32\COMMAND.COM 2 8" xfId="286"/>
    <cellStyle name="=C:\WINNT\SYSTEM32\COMMAND.COM 2 9" xfId="287"/>
    <cellStyle name="=C:\WINNT\SYSTEM32\COMMAND.COM 2_Feuil1" xfId="288"/>
    <cellStyle name="=C:\WINNT\SYSTEM32\COMMAND.COM 3" xfId="289"/>
    <cellStyle name="=C:\WINNT\SYSTEM32\COMMAND.COM 3 2" xfId="290"/>
    <cellStyle name="=C:\WINNT\SYSTEM32\COMMAND.COM 3 3" xfId="291"/>
    <cellStyle name="=C:\WINNT\SYSTEM32\COMMAND.COM 3 4" xfId="292"/>
    <cellStyle name="=C:\WINNT\SYSTEM32\COMMAND.COM 3 5" xfId="293"/>
    <cellStyle name="=C:\WINNT\SYSTEM32\COMMAND.COM 3 6" xfId="294"/>
    <cellStyle name="=C:\WINNT\SYSTEM32\COMMAND.COM 3 7" xfId="295"/>
    <cellStyle name="=C:\WINNT\SYSTEM32\COMMAND.COM 3 8" xfId="296"/>
    <cellStyle name="=C:\WINNT\SYSTEM32\COMMAND.COM 3 9" xfId="297"/>
    <cellStyle name="=C:\WINNT\SYSTEM32\COMMAND.COM 3_Feuil1" xfId="298"/>
    <cellStyle name="=C:\WINNT\SYSTEM32\COMMAND.COM 4" xfId="299"/>
    <cellStyle name="=C:\WINNT\SYSTEM32\COMMAND.COM 4 2" xfId="300"/>
    <cellStyle name="=C:\WINNT\SYSTEM32\COMMAND.COM 4 3" xfId="301"/>
    <cellStyle name="=C:\WINNT\SYSTEM32\COMMAND.COM 4 4" xfId="302"/>
    <cellStyle name="=C:\WINNT\SYSTEM32\COMMAND.COM 4 5" xfId="303"/>
    <cellStyle name="=C:\WINNT\SYSTEM32\COMMAND.COM 4 6" xfId="304"/>
    <cellStyle name="=C:\WINNT\SYSTEM32\COMMAND.COM 4 7" xfId="305"/>
    <cellStyle name="=C:\WINNT\SYSTEM32\COMMAND.COM 4 8" xfId="306"/>
    <cellStyle name="=C:\WINNT\SYSTEM32\COMMAND.COM 4 9" xfId="307"/>
    <cellStyle name="=C:\WINNT\SYSTEM32\COMMAND.COM 4_Feuil1" xfId="308"/>
    <cellStyle name="=C:\WINNT\SYSTEM32\COMMAND.COM 5" xfId="309"/>
    <cellStyle name="=C:\WINNT\SYSTEM32\COMMAND.COM 5 2" xfId="310"/>
    <cellStyle name="=C:\WINNT\SYSTEM32\COMMAND.COM 5 3" xfId="311"/>
    <cellStyle name="=C:\WINNT\SYSTEM32\COMMAND.COM 5 4" xfId="312"/>
    <cellStyle name="=C:\WINNT\SYSTEM32\COMMAND.COM 5 5" xfId="313"/>
    <cellStyle name="=C:\WINNT\SYSTEM32\COMMAND.COM 5 6" xfId="314"/>
    <cellStyle name="=C:\WINNT\SYSTEM32\COMMAND.COM 5 7" xfId="315"/>
    <cellStyle name="=C:\WINNT\SYSTEM32\COMMAND.COM 5 8" xfId="316"/>
    <cellStyle name="=C:\WINNT\SYSTEM32\COMMAND.COM 5 9" xfId="317"/>
    <cellStyle name="=C:\WINNT\SYSTEM32\COMMAND.COM 5_Feuil1" xfId="318"/>
    <cellStyle name="=C:\WINNT\SYSTEM32\COMMAND.COM 6" xfId="319"/>
    <cellStyle name="=C:\WINNT\SYSTEM32\COMMAND.COM 6 2" xfId="320"/>
    <cellStyle name="=C:\WINNT\SYSTEM32\COMMAND.COM 6 3" xfId="321"/>
    <cellStyle name="=C:\WINNT\SYSTEM32\COMMAND.COM 6 4" xfId="322"/>
    <cellStyle name="=C:\WINNT\SYSTEM32\COMMAND.COM 6 5" xfId="323"/>
    <cellStyle name="=C:\WINNT\SYSTEM32\COMMAND.COM 6 6" xfId="324"/>
    <cellStyle name="=C:\WINNT\SYSTEM32\COMMAND.COM 6 7" xfId="325"/>
    <cellStyle name="=C:\WINNT\SYSTEM32\COMMAND.COM 6 8" xfId="326"/>
    <cellStyle name="=C:\WINNT\SYSTEM32\COMMAND.COM 6 9" xfId="327"/>
    <cellStyle name="=C:\WINNT\SYSTEM32\COMMAND.COM 6_Feuil1" xfId="328"/>
    <cellStyle name="=C:\WINNT\SYSTEM32\COMMAND.COM 7" xfId="329"/>
    <cellStyle name="=C:\WINNT\SYSTEM32\COMMAND.COM 7 2" xfId="330"/>
    <cellStyle name="=C:\WINNT\SYSTEM32\COMMAND.COM 7 3" xfId="331"/>
    <cellStyle name="=C:\WINNT\SYSTEM32\COMMAND.COM 7 4" xfId="332"/>
    <cellStyle name="=C:\WINNT\SYSTEM32\COMMAND.COM 7 5" xfId="333"/>
    <cellStyle name="=C:\WINNT\SYSTEM32\COMMAND.COM 7 6" xfId="334"/>
    <cellStyle name="=C:\WINNT\SYSTEM32\COMMAND.COM 7 7" xfId="335"/>
    <cellStyle name="=C:\WINNT\SYSTEM32\COMMAND.COM 7 8" xfId="336"/>
    <cellStyle name="=C:\WINNT\SYSTEM32\COMMAND.COM 7 9" xfId="337"/>
    <cellStyle name="=C:\WINNT\SYSTEM32\COMMAND.COM 7_Feuil1" xfId="338"/>
    <cellStyle name="=C:\WINNT\SYSTEM32\COMMAND.COM 8" xfId="339"/>
    <cellStyle name="=C:\WINNT\SYSTEM32\COMMAND.COM 9" xfId="340"/>
    <cellStyle name="=C:\WINNT\SYSTEM32\COMMAND.COM_G2.2" xfId="341"/>
    <cellStyle name="=C:\WINNT35\SYSTEM32\COMMAND.COM" xfId="342"/>
    <cellStyle name="=C:\WINNT35\SYSTEM32\COMMAND.COM 10" xfId="343"/>
    <cellStyle name="=C:\WINNT35\SYSTEM32\COMMAND.COM 11" xfId="344"/>
    <cellStyle name="=C:\WINNT35\SYSTEM32\COMMAND.COM 12" xfId="345"/>
    <cellStyle name="=C:\WINNT35\SYSTEM32\COMMAND.COM 2" xfId="346"/>
    <cellStyle name="=C:\WINNT35\SYSTEM32\COMMAND.COM 2 2" xfId="347"/>
    <cellStyle name="=C:\WINNT35\SYSTEM32\COMMAND.COM 2 3" xfId="348"/>
    <cellStyle name="=C:\WINNT35\SYSTEM32\COMMAND.COM 2 4" xfId="349"/>
    <cellStyle name="=C:\WINNT35\SYSTEM32\COMMAND.COM 2 5" xfId="350"/>
    <cellStyle name="=C:\WINNT35\SYSTEM32\COMMAND.COM 2 6" xfId="351"/>
    <cellStyle name="=C:\WINNT35\SYSTEM32\COMMAND.COM 2 7" xfId="352"/>
    <cellStyle name="=C:\WINNT35\SYSTEM32\COMMAND.COM 2 8" xfId="353"/>
    <cellStyle name="=C:\WINNT35\SYSTEM32\COMMAND.COM 2 9" xfId="354"/>
    <cellStyle name="=C:\WINNT35\SYSTEM32\COMMAND.COM 2_Feuil1" xfId="355"/>
    <cellStyle name="=C:\WINNT35\SYSTEM32\COMMAND.COM 3" xfId="356"/>
    <cellStyle name="=C:\WINNT35\SYSTEM32\COMMAND.COM 4" xfId="357"/>
    <cellStyle name="=C:\WINNT35\SYSTEM32\COMMAND.COM 5" xfId="358"/>
    <cellStyle name="=C:\WINNT35\SYSTEM32\COMMAND.COM 6" xfId="359"/>
    <cellStyle name="=C:\WINNT35\SYSTEM32\COMMAND.COM 7" xfId="360"/>
    <cellStyle name="=C:\WINNT35\SYSTEM32\COMMAND.COM 8" xfId="361"/>
    <cellStyle name="=C:\WINNT35\SYSTEM32\COMMAND.COM 9" xfId="362"/>
    <cellStyle name="=C:\WINNT35\SYSTEM32\COMMAND.COM_05_ZZZImmobilisations_Backup 2009-12" xfId="363"/>
    <cellStyle name="0%" xfId="367"/>
    <cellStyle name="0% 2" xfId="368"/>
    <cellStyle name="0% 3" xfId="369"/>
    <cellStyle name="0% 4" xfId="370"/>
    <cellStyle name="0% 5" xfId="371"/>
    <cellStyle name="0% 6" xfId="372"/>
    <cellStyle name="0% 7" xfId="373"/>
    <cellStyle name="0% 8" xfId="374"/>
    <cellStyle name="0% 9" xfId="375"/>
    <cellStyle name="0,0%" xfId="376"/>
    <cellStyle name="0,000" xfId="377"/>
    <cellStyle name="0,000 2" xfId="378"/>
    <cellStyle name="0,000 3" xfId="379"/>
    <cellStyle name="0,000 4" xfId="380"/>
    <cellStyle name="0,000 5" xfId="381"/>
    <cellStyle name="0,000 6" xfId="382"/>
    <cellStyle name="0,000 7" xfId="383"/>
    <cellStyle name="0,000 8" xfId="384"/>
    <cellStyle name="0,000 9" xfId="385"/>
    <cellStyle name="0,00x" xfId="386"/>
    <cellStyle name="0,0x" xfId="387"/>
    <cellStyle name="19xxA" xfId="388"/>
    <cellStyle name="19xxE" xfId="389"/>
    <cellStyle name="19xxE 2" xfId="390"/>
    <cellStyle name="19xxE 3" xfId="391"/>
    <cellStyle name="19xxE 4" xfId="392"/>
    <cellStyle name="19xxE 5" xfId="393"/>
    <cellStyle name="19xxE 6" xfId="394"/>
    <cellStyle name="19xxE 7" xfId="395"/>
    <cellStyle name="19xxE 8" xfId="396"/>
    <cellStyle name="19xxE 9" xfId="397"/>
    <cellStyle name="19xxF" xfId="398"/>
    <cellStyle name="19xxF 2" xfId="399"/>
    <cellStyle name="19xxF 3" xfId="400"/>
    <cellStyle name="19xxF 4" xfId="401"/>
    <cellStyle name="19xxF 5" xfId="402"/>
    <cellStyle name="19xxF 6" xfId="403"/>
    <cellStyle name="19xxF 7" xfId="404"/>
    <cellStyle name="19xxF 8" xfId="405"/>
    <cellStyle name="19xxF 9" xfId="406"/>
    <cellStyle name="20 % - Accent1" xfId="407"/>
    <cellStyle name="20 % - Accent1 2" xfId="408"/>
    <cellStyle name="20 % - Accent1_07.2 - ID en KP" xfId="409"/>
    <cellStyle name="20 % - Accent2" xfId="410"/>
    <cellStyle name="20 % - Accent2 2" xfId="411"/>
    <cellStyle name="20 % - Accent2_07.2 - ID en KP" xfId="412"/>
    <cellStyle name="20 % - Accent3" xfId="413"/>
    <cellStyle name="20 % - Accent3 2" xfId="414"/>
    <cellStyle name="20 % - Accent3_07.2 - ID en KP" xfId="415"/>
    <cellStyle name="20 % - Accent4" xfId="416"/>
    <cellStyle name="20 % - Accent4 2" xfId="417"/>
    <cellStyle name="20 % - Accent4_07.2 - ID en KP" xfId="418"/>
    <cellStyle name="20 % - Accent5" xfId="419"/>
    <cellStyle name="20 % - Accent5 2" xfId="420"/>
    <cellStyle name="20 % - Accent5_07.2 - ID en KP" xfId="421"/>
    <cellStyle name="20 % - Accent6" xfId="422"/>
    <cellStyle name="20 % - Accent6 2" xfId="423"/>
    <cellStyle name="20 % - Accent6_07.2 - ID en KP" xfId="424"/>
    <cellStyle name="20% - Accent1 10" xfId="425"/>
    <cellStyle name="20% - Accent1 11" xfId="426"/>
    <cellStyle name="20% - Accent1 2" xfId="427"/>
    <cellStyle name="20% - Accent1 2 2" xfId="428"/>
    <cellStyle name="20% - Accent1 2 3" xfId="429"/>
    <cellStyle name="20% - Accent1 2 4" xfId="430"/>
    <cellStyle name="20% - Accent1 2_BrochureGroupe1_2009.12_091210_2000" xfId="431"/>
    <cellStyle name="20% - Accent1 3" xfId="432"/>
    <cellStyle name="20% - Accent1 4" xfId="433"/>
    <cellStyle name="20% - Accent1 5" xfId="434"/>
    <cellStyle name="20% - Accent1 6" xfId="435"/>
    <cellStyle name="20% - Accent1 7" xfId="436"/>
    <cellStyle name="20% - Accent1 8" xfId="437"/>
    <cellStyle name="20% - Accent1 9" xfId="438"/>
    <cellStyle name="20% - Accent2 10" xfId="439"/>
    <cellStyle name="20% - Accent2 11" xfId="440"/>
    <cellStyle name="20% - Accent2 2" xfId="441"/>
    <cellStyle name="20% - Accent2 2 2" xfId="442"/>
    <cellStyle name="20% - Accent2 2 3" xfId="443"/>
    <cellStyle name="20% - Accent2 2 4" xfId="444"/>
    <cellStyle name="20% - Accent2 2_BrochureGroupe1_2009.12_091210_2000" xfId="445"/>
    <cellStyle name="20% - Accent2 3" xfId="446"/>
    <cellStyle name="20% - Accent2 4" xfId="447"/>
    <cellStyle name="20% - Accent2 5" xfId="448"/>
    <cellStyle name="20% - Accent2 6" xfId="449"/>
    <cellStyle name="20% - Accent2 7" xfId="450"/>
    <cellStyle name="20% - Accent2 8" xfId="451"/>
    <cellStyle name="20% - Accent2 9" xfId="452"/>
    <cellStyle name="20% - Accent3 10" xfId="453"/>
    <cellStyle name="20% - Accent3 11" xfId="454"/>
    <cellStyle name="20% - Accent3 2" xfId="455"/>
    <cellStyle name="20% - Accent3 2 2" xfId="456"/>
    <cellStyle name="20% - Accent3 2 3" xfId="457"/>
    <cellStyle name="20% - Accent3 2 4" xfId="458"/>
    <cellStyle name="20% - Accent3 2_BrochureGroupe1_2009.12_091210_2000" xfId="459"/>
    <cellStyle name="20% - Accent3 3" xfId="460"/>
    <cellStyle name="20% - Accent3 4" xfId="461"/>
    <cellStyle name="20% - Accent3 5" xfId="462"/>
    <cellStyle name="20% - Accent3 6" xfId="463"/>
    <cellStyle name="20% - Accent3 7" xfId="464"/>
    <cellStyle name="20% - Accent3 8" xfId="465"/>
    <cellStyle name="20% - Accent3 9" xfId="466"/>
    <cellStyle name="20% - Accent4 10" xfId="467"/>
    <cellStyle name="20% - Accent4 11" xfId="468"/>
    <cellStyle name="20% - Accent4 2" xfId="469"/>
    <cellStyle name="20% - Accent4 2 2" xfId="470"/>
    <cellStyle name="20% - Accent4 2 3" xfId="471"/>
    <cellStyle name="20% - Accent4 2 4" xfId="472"/>
    <cellStyle name="20% - Accent4 2_BrochureGroupe1_2009.12_091210_2000" xfId="473"/>
    <cellStyle name="20% - Accent4 3" xfId="474"/>
    <cellStyle name="20% - Accent4 4" xfId="475"/>
    <cellStyle name="20% - Accent4 5" xfId="476"/>
    <cellStyle name="20% - Accent4 6" xfId="477"/>
    <cellStyle name="20% - Accent4 7" xfId="478"/>
    <cellStyle name="20% - Accent4 8" xfId="479"/>
    <cellStyle name="20% - Accent4 9" xfId="480"/>
    <cellStyle name="20% - Accent5 10" xfId="481"/>
    <cellStyle name="20% - Accent5 11" xfId="482"/>
    <cellStyle name="20% - Accent5 2" xfId="483"/>
    <cellStyle name="20% - Accent5 2 2" xfId="484"/>
    <cellStyle name="20% - Accent5 2 3" xfId="485"/>
    <cellStyle name="20% - Accent5 2 4" xfId="486"/>
    <cellStyle name="20% - Accent5 2_BrochureGroupe1_2009.12_091210_2000" xfId="487"/>
    <cellStyle name="20% - Accent5 3" xfId="488"/>
    <cellStyle name="20% - Accent5 4" xfId="489"/>
    <cellStyle name="20% - Accent5 5" xfId="490"/>
    <cellStyle name="20% - Accent5 6" xfId="491"/>
    <cellStyle name="20% - Accent5 7" xfId="492"/>
    <cellStyle name="20% - Accent5 8" xfId="493"/>
    <cellStyle name="20% - Accent5 9" xfId="494"/>
    <cellStyle name="20% - Accent6 10" xfId="495"/>
    <cellStyle name="20% - Accent6 11" xfId="496"/>
    <cellStyle name="20% - Accent6 2" xfId="497"/>
    <cellStyle name="20% - Accent6 2 2" xfId="498"/>
    <cellStyle name="20% - Accent6 2 3" xfId="499"/>
    <cellStyle name="20% - Accent6 2 4" xfId="500"/>
    <cellStyle name="20% - Accent6 2_BrochureGroupe1_2009.12_091210_2000" xfId="501"/>
    <cellStyle name="20% - Accent6 3" xfId="502"/>
    <cellStyle name="20% - Accent6 4" xfId="503"/>
    <cellStyle name="20% - Accent6 5" xfId="504"/>
    <cellStyle name="20% - Accent6 6" xfId="505"/>
    <cellStyle name="20% - Accent6 7" xfId="506"/>
    <cellStyle name="20% - Accent6 8" xfId="507"/>
    <cellStyle name="20% - Accent6 9" xfId="508"/>
    <cellStyle name="40 % - Accent1" xfId="509"/>
    <cellStyle name="40 % - Accent1 2" xfId="510"/>
    <cellStyle name="40 % - Accent1_07.2 - ID en KP" xfId="511"/>
    <cellStyle name="40 % - Accent2" xfId="512"/>
    <cellStyle name="40 % - Accent2 2" xfId="513"/>
    <cellStyle name="40 % - Accent2_07.2 - ID en KP" xfId="514"/>
    <cellStyle name="40 % - Accent3" xfId="515"/>
    <cellStyle name="40 % - Accent3 2" xfId="516"/>
    <cellStyle name="40 % - Accent3_07.2 - ID en KP" xfId="517"/>
    <cellStyle name="40 % - Accent4" xfId="518"/>
    <cellStyle name="40 % - Accent4 2" xfId="519"/>
    <cellStyle name="40 % - Accent4_07.2 - ID en KP" xfId="520"/>
    <cellStyle name="40 % - Accent5" xfId="521"/>
    <cellStyle name="40 % - Accent5 2" xfId="522"/>
    <cellStyle name="40 % - Accent5_07.2 - ID en KP" xfId="523"/>
    <cellStyle name="40 % - Accent6" xfId="524"/>
    <cellStyle name="40 % - Accent6 2" xfId="525"/>
    <cellStyle name="40 % - Accent6_07.2 - ID en KP" xfId="526"/>
    <cellStyle name="40% - Accent1 10" xfId="527"/>
    <cellStyle name="40% - Accent1 11" xfId="528"/>
    <cellStyle name="40% - Accent1 2" xfId="529"/>
    <cellStyle name="40% - Accent1 2 2" xfId="530"/>
    <cellStyle name="40% - Accent1 2 3" xfId="531"/>
    <cellStyle name="40% - Accent1 2 4" xfId="532"/>
    <cellStyle name="40% - Accent1 2_BrochureGroupe1_2009.12_091210_2000" xfId="533"/>
    <cellStyle name="40% - Accent1 3" xfId="534"/>
    <cellStyle name="40% - Accent1 4" xfId="535"/>
    <cellStyle name="40% - Accent1 5" xfId="536"/>
    <cellStyle name="40% - Accent1 6" xfId="537"/>
    <cellStyle name="40% - Accent1 7" xfId="538"/>
    <cellStyle name="40% - Accent1 8" xfId="539"/>
    <cellStyle name="40% - Accent1 9" xfId="540"/>
    <cellStyle name="40% - Accent2 10" xfId="541"/>
    <cellStyle name="40% - Accent2 11" xfId="542"/>
    <cellStyle name="40% - Accent2 2" xfId="543"/>
    <cellStyle name="40% - Accent2 2 2" xfId="544"/>
    <cellStyle name="40% - Accent2 2 3" xfId="545"/>
    <cellStyle name="40% - Accent2 2 4" xfId="546"/>
    <cellStyle name="40% - Accent2 2_BrochureGroupe1_2009.12_091210_2000" xfId="547"/>
    <cellStyle name="40% - Accent2 3" xfId="548"/>
    <cellStyle name="40% - Accent2 4" xfId="549"/>
    <cellStyle name="40% - Accent2 5" xfId="550"/>
    <cellStyle name="40% - Accent2 6" xfId="551"/>
    <cellStyle name="40% - Accent2 7" xfId="552"/>
    <cellStyle name="40% - Accent2 8" xfId="553"/>
    <cellStyle name="40% - Accent2 9" xfId="554"/>
    <cellStyle name="40% - Accent3 10" xfId="555"/>
    <cellStyle name="40% - Accent3 11" xfId="556"/>
    <cellStyle name="40% - Accent3 2" xfId="557"/>
    <cellStyle name="40% - Accent3 2 2" xfId="558"/>
    <cellStyle name="40% - Accent3 2 3" xfId="559"/>
    <cellStyle name="40% - Accent3 2 4" xfId="560"/>
    <cellStyle name="40% - Accent3 2_BrochureGroupe1_2009.12_091210_2000" xfId="561"/>
    <cellStyle name="40% - Accent3 3" xfId="562"/>
    <cellStyle name="40% - Accent3 4" xfId="563"/>
    <cellStyle name="40% - Accent3 5" xfId="564"/>
    <cellStyle name="40% - Accent3 6" xfId="565"/>
    <cellStyle name="40% - Accent3 7" xfId="566"/>
    <cellStyle name="40% - Accent3 8" xfId="567"/>
    <cellStyle name="40% - Accent3 9" xfId="568"/>
    <cellStyle name="40% - Accent4 10" xfId="569"/>
    <cellStyle name="40% - Accent4 11" xfId="570"/>
    <cellStyle name="40% - Accent4 2" xfId="571"/>
    <cellStyle name="40% - Accent4 2 2" xfId="572"/>
    <cellStyle name="40% - Accent4 2 3" xfId="573"/>
    <cellStyle name="40% - Accent4 2 4" xfId="574"/>
    <cellStyle name="40% - Accent4 2_BrochureGroupe1_2009.12_091210_2000" xfId="575"/>
    <cellStyle name="40% - Accent4 3" xfId="576"/>
    <cellStyle name="40% - Accent4 4" xfId="577"/>
    <cellStyle name="40% - Accent4 5" xfId="578"/>
    <cellStyle name="40% - Accent4 6" xfId="579"/>
    <cellStyle name="40% - Accent4 7" xfId="580"/>
    <cellStyle name="40% - Accent4 8" xfId="581"/>
    <cellStyle name="40% - Accent4 9" xfId="582"/>
    <cellStyle name="40% - Accent5 10" xfId="583"/>
    <cellStyle name="40% - Accent5 11" xfId="584"/>
    <cellStyle name="40% - Accent5 2" xfId="585"/>
    <cellStyle name="40% - Accent5 2 2" xfId="586"/>
    <cellStyle name="40% - Accent5 2 3" xfId="587"/>
    <cellStyle name="40% - Accent5 2 4" xfId="588"/>
    <cellStyle name="40% - Accent5 2_BrochureGroupe1_2009.12_091210_2000" xfId="589"/>
    <cellStyle name="40% - Accent5 3" xfId="590"/>
    <cellStyle name="40% - Accent5 4" xfId="591"/>
    <cellStyle name="40% - Accent5 5" xfId="592"/>
    <cellStyle name="40% - Accent5 6" xfId="593"/>
    <cellStyle name="40% - Accent5 7" xfId="594"/>
    <cellStyle name="40% - Accent5 8" xfId="595"/>
    <cellStyle name="40% - Accent5 9" xfId="596"/>
    <cellStyle name="40% - Accent6 10" xfId="597"/>
    <cellStyle name="40% - Accent6 11" xfId="598"/>
    <cellStyle name="40% - Accent6 2" xfId="599"/>
    <cellStyle name="40% - Accent6 2 2" xfId="600"/>
    <cellStyle name="40% - Accent6 2 3" xfId="601"/>
    <cellStyle name="40% - Accent6 2 4" xfId="602"/>
    <cellStyle name="40% - Accent6 2_BrochureGroupe1_2009.12_091210_2000" xfId="603"/>
    <cellStyle name="40% - Accent6 3" xfId="604"/>
    <cellStyle name="40% - Accent6 4" xfId="605"/>
    <cellStyle name="40% - Accent6 5" xfId="606"/>
    <cellStyle name="40% - Accent6 6" xfId="607"/>
    <cellStyle name="40% - Accent6 7" xfId="608"/>
    <cellStyle name="40% - Accent6 8" xfId="609"/>
    <cellStyle name="40% - Accent6 9" xfId="610"/>
    <cellStyle name="60 % - Accent1" xfId="611"/>
    <cellStyle name="60 % - Accent1 2" xfId="612"/>
    <cellStyle name="60 % - Accent1_07.2 - ID en KP" xfId="613"/>
    <cellStyle name="60 % - Accent2" xfId="614"/>
    <cellStyle name="60 % - Accent2 2" xfId="615"/>
    <cellStyle name="60 % - Accent2_07.2 - ID en KP" xfId="616"/>
    <cellStyle name="60 % - Accent3" xfId="617"/>
    <cellStyle name="60 % - Accent3 2" xfId="618"/>
    <cellStyle name="60 % - Accent3_07.2 - ID en KP" xfId="619"/>
    <cellStyle name="60 % - Accent4" xfId="620"/>
    <cellStyle name="60 % - Accent4 2" xfId="621"/>
    <cellStyle name="60 % - Accent4_07.2 - ID en KP" xfId="622"/>
    <cellStyle name="60 % - Accent5" xfId="623"/>
    <cellStyle name="60 % - Accent5 2" xfId="624"/>
    <cellStyle name="60 % - Accent5_07.2 - ID en KP" xfId="625"/>
    <cellStyle name="60 % - Accent6" xfId="626"/>
    <cellStyle name="60 % - Accent6 2" xfId="627"/>
    <cellStyle name="60 % - Accent6_07.2 - ID en KP" xfId="628"/>
    <cellStyle name="60% - Accent1 10" xfId="629"/>
    <cellStyle name="60% - Accent1 11" xfId="630"/>
    <cellStyle name="60% - Accent1 2" xfId="631"/>
    <cellStyle name="60% - Accent1 2 2" xfId="632"/>
    <cellStyle name="60% - Accent1 2 3" xfId="633"/>
    <cellStyle name="60% - Accent1 2 4" xfId="634"/>
    <cellStyle name="60% - Accent1 2_BrochureGroupe2_2009.12_091210_0900" xfId="635"/>
    <cellStyle name="60% - Accent1 3" xfId="636"/>
    <cellStyle name="60% - Accent1 4" xfId="637"/>
    <cellStyle name="60% - Accent1 5" xfId="638"/>
    <cellStyle name="60% - Accent1 6" xfId="639"/>
    <cellStyle name="60% - Accent1 7" xfId="640"/>
    <cellStyle name="60% - Accent1 8" xfId="641"/>
    <cellStyle name="60% - Accent1 9" xfId="642"/>
    <cellStyle name="60% - Accent2 10" xfId="643"/>
    <cellStyle name="60% - Accent2 11" xfId="644"/>
    <cellStyle name="60% - Accent2 2" xfId="645"/>
    <cellStyle name="60% - Accent2 2 2" xfId="646"/>
    <cellStyle name="60% - Accent2 2 3" xfId="647"/>
    <cellStyle name="60% - Accent2 2 4" xfId="648"/>
    <cellStyle name="60% - Accent2 2_BrochureGroupe2_2009.12_091210_0900" xfId="649"/>
    <cellStyle name="60% - Accent2 3" xfId="650"/>
    <cellStyle name="60% - Accent2 4" xfId="651"/>
    <cellStyle name="60% - Accent2 5" xfId="652"/>
    <cellStyle name="60% - Accent2 6" xfId="653"/>
    <cellStyle name="60% - Accent2 7" xfId="654"/>
    <cellStyle name="60% - Accent2 8" xfId="655"/>
    <cellStyle name="60% - Accent2 9" xfId="656"/>
    <cellStyle name="60% - Accent3 10" xfId="657"/>
    <cellStyle name="60% - Accent3 11" xfId="658"/>
    <cellStyle name="60% - Accent3 2" xfId="659"/>
    <cellStyle name="60% - Accent3 2 2" xfId="660"/>
    <cellStyle name="60% - Accent3 2 3" xfId="661"/>
    <cellStyle name="60% - Accent3 2 4" xfId="662"/>
    <cellStyle name="60% - Accent3 2_BrochureGroupe2_2009.12_091210_0900" xfId="663"/>
    <cellStyle name="60% - Accent3 3" xfId="664"/>
    <cellStyle name="60% - Accent3 4" xfId="665"/>
    <cellStyle name="60% - Accent3 5" xfId="666"/>
    <cellStyle name="60% - Accent3 6" xfId="667"/>
    <cellStyle name="60% - Accent3 7" xfId="668"/>
    <cellStyle name="60% - Accent3 8" xfId="669"/>
    <cellStyle name="60% - Accent3 9" xfId="670"/>
    <cellStyle name="60% - Accent4 10" xfId="671"/>
    <cellStyle name="60% - Accent4 11" xfId="672"/>
    <cellStyle name="60% - Accent4 2" xfId="673"/>
    <cellStyle name="60% - Accent4 2 2" xfId="674"/>
    <cellStyle name="60% - Accent4 2 3" xfId="675"/>
    <cellStyle name="60% - Accent4 2 4" xfId="676"/>
    <cellStyle name="60% - Accent4 2_BrochureGroupe2_2009.12_091210_0900" xfId="677"/>
    <cellStyle name="60% - Accent4 3" xfId="678"/>
    <cellStyle name="60% - Accent4 4" xfId="679"/>
    <cellStyle name="60% - Accent4 5" xfId="680"/>
    <cellStyle name="60% - Accent4 6" xfId="681"/>
    <cellStyle name="60% - Accent4 7" xfId="682"/>
    <cellStyle name="60% - Accent4 8" xfId="683"/>
    <cellStyle name="60% - Accent4 9" xfId="684"/>
    <cellStyle name="60% - Accent5 10" xfId="685"/>
    <cellStyle name="60% - Accent5 11" xfId="686"/>
    <cellStyle name="60% - Accent5 2" xfId="687"/>
    <cellStyle name="60% - Accent5 2 2" xfId="688"/>
    <cellStyle name="60% - Accent5 2 3" xfId="689"/>
    <cellStyle name="60% - Accent5 2 4" xfId="690"/>
    <cellStyle name="60% - Accent5 2_BrochureGroupe2_2009.12_091210_0900" xfId="691"/>
    <cellStyle name="60% - Accent5 3" xfId="692"/>
    <cellStyle name="60% - Accent5 4" xfId="693"/>
    <cellStyle name="60% - Accent5 5" xfId="694"/>
    <cellStyle name="60% - Accent5 6" xfId="695"/>
    <cellStyle name="60% - Accent5 7" xfId="696"/>
    <cellStyle name="60% - Accent5 8" xfId="697"/>
    <cellStyle name="60% - Accent5 9" xfId="698"/>
    <cellStyle name="60% - Accent6 10" xfId="699"/>
    <cellStyle name="60% - Accent6 11" xfId="700"/>
    <cellStyle name="60% - Accent6 2" xfId="701"/>
    <cellStyle name="60% - Accent6 2 2" xfId="702"/>
    <cellStyle name="60% - Accent6 2 3" xfId="703"/>
    <cellStyle name="60% - Accent6 2 4" xfId="704"/>
    <cellStyle name="60% - Accent6 2_BrochureGroupe2_2009.12_091210_0900" xfId="705"/>
    <cellStyle name="60% - Accent6 3" xfId="706"/>
    <cellStyle name="60% - Accent6 4" xfId="707"/>
    <cellStyle name="60% - Accent6 5" xfId="708"/>
    <cellStyle name="60% - Accent6 6" xfId="709"/>
    <cellStyle name="60% - Accent6 7" xfId="710"/>
    <cellStyle name="60% - Accent6 8" xfId="711"/>
    <cellStyle name="60% - Accent6 9" xfId="712"/>
    <cellStyle name="8" xfId="713"/>
    <cellStyle name="A3 297 x 420 mm" xfId="714"/>
    <cellStyle name="Accent1 - 20%" xfId="715"/>
    <cellStyle name="Accent1 - 40%" xfId="716"/>
    <cellStyle name="Accent1 - 60%" xfId="717"/>
    <cellStyle name="Accent1 2" xfId="718"/>
    <cellStyle name="Accent2 - 20%" xfId="719"/>
    <cellStyle name="Accent2 - 40%" xfId="720"/>
    <cellStyle name="Accent2 - 60%" xfId="721"/>
    <cellStyle name="Accent2 2" xfId="722"/>
    <cellStyle name="Accent3 - 20%" xfId="723"/>
    <cellStyle name="Accent3 - 40%" xfId="724"/>
    <cellStyle name="Accent3 - 60%" xfId="725"/>
    <cellStyle name="Accent3 2" xfId="726"/>
    <cellStyle name="Accent4 - 20%" xfId="727"/>
    <cellStyle name="Accent4 - 40%" xfId="728"/>
    <cellStyle name="Accent4 - 60%" xfId="729"/>
    <cellStyle name="Accent4 2" xfId="730"/>
    <cellStyle name="Accent5 - 20%" xfId="731"/>
    <cellStyle name="Accent5 - 40%" xfId="732"/>
    <cellStyle name="Accent5 - 60%" xfId="733"/>
    <cellStyle name="Accent5 2" xfId="734"/>
    <cellStyle name="Accent6 - 20%" xfId="735"/>
    <cellStyle name="Accent6 - 40%" xfId="736"/>
    <cellStyle name="Accent6 - 60%" xfId="737"/>
    <cellStyle name="Accent6 2" xfId="738"/>
    <cellStyle name="ACF" xfId="739"/>
    <cellStyle name="AeE­ [0]_INQUIRY ¿µ¾÷AßAø " xfId="740"/>
    <cellStyle name="AeE­_INQUIRY ¿µ¾÷AßAø " xfId="741"/>
    <cellStyle name="AÞ¸¶ [0]_INQUIRY ¿µ¾÷AßAø " xfId="742"/>
    <cellStyle name="AÞ¸¶_INQUIRY ¿µ¾÷AßAø " xfId="743"/>
    <cellStyle name="Avertissement" xfId="744"/>
    <cellStyle name="Avertissement 2" xfId="745"/>
    <cellStyle name="Avertissement_07.2 - ID en KP" xfId="746"/>
    <cellStyle name="Bad" xfId="747"/>
    <cellStyle name="Bad 10" xfId="748"/>
    <cellStyle name="Bad 11" xfId="749"/>
    <cellStyle name="Bad 2" xfId="750"/>
    <cellStyle name="Bad 2 2" xfId="751"/>
    <cellStyle name="Bad 2 3" xfId="752"/>
    <cellStyle name="Bad 2 4" xfId="753"/>
    <cellStyle name="Bad 2_BrochureGroupe2_2009.12_091210_0900" xfId="754"/>
    <cellStyle name="Bad 3" xfId="755"/>
    <cellStyle name="Bad 4" xfId="756"/>
    <cellStyle name="Bad 5" xfId="757"/>
    <cellStyle name="Bad 6" xfId="758"/>
    <cellStyle name="Bad 7" xfId="759"/>
    <cellStyle name="Bad 8" xfId="760"/>
    <cellStyle name="Bad 9" xfId="761"/>
    <cellStyle name="-Bas de tableau" xfId="762"/>
    <cellStyle name="Body" xfId="763"/>
    <cellStyle name="Bold/Border" xfId="764"/>
    <cellStyle name="Border Heavy" xfId="765"/>
    <cellStyle name="Border Thin" xfId="766"/>
    <cellStyle name="BoxHeading" xfId="767"/>
    <cellStyle name="Bullet" xfId="768"/>
    <cellStyle name="C?AØ_¿µ¾÷CoE² " xfId="769"/>
    <cellStyle name="Calc_0dp" xfId="770"/>
    <cellStyle name="Calcul" xfId="771"/>
    <cellStyle name="Calcul 2" xfId="772"/>
    <cellStyle name="Calcul_07.2 - ID en KP" xfId="773"/>
    <cellStyle name="Calculation 10" xfId="774"/>
    <cellStyle name="Calculation 11" xfId="775"/>
    <cellStyle name="Calculation 2" xfId="776"/>
    <cellStyle name="Calculation 2 2" xfId="777"/>
    <cellStyle name="Calculation 2 3" xfId="778"/>
    <cellStyle name="Calculation 2 4" xfId="779"/>
    <cellStyle name="Calculation 2_05_ZZZImmobilisations_Backup 2009-12" xfId="780"/>
    <cellStyle name="Calculation 3" xfId="781"/>
    <cellStyle name="Calculation 4" xfId="782"/>
    <cellStyle name="Calculation 5" xfId="783"/>
    <cellStyle name="Calculation 6" xfId="784"/>
    <cellStyle name="Calculation 7" xfId="785"/>
    <cellStyle name="Calculation 8" xfId="786"/>
    <cellStyle name="Calculation 9" xfId="787"/>
    <cellStyle name="CALDAS" xfId="788"/>
    <cellStyle name="CALDAS 2" xfId="789"/>
    <cellStyle name="CALDAS 3" xfId="790"/>
    <cellStyle name="CALDAS 4" xfId="791"/>
    <cellStyle name="CALDAS 5" xfId="792"/>
    <cellStyle name="CALDAS 6" xfId="793"/>
    <cellStyle name="Cellule liée" xfId="794"/>
    <cellStyle name="Cellule liée 2" xfId="795"/>
    <cellStyle name="Cellule liée_07.2 - ID en KP" xfId="796"/>
    <cellStyle name="Cent/kWh" xfId="797"/>
    <cellStyle name="Check Cell" xfId="798"/>
    <cellStyle name="Check Cell 10" xfId="799"/>
    <cellStyle name="Check Cell 11" xfId="800"/>
    <cellStyle name="Check Cell 2" xfId="801"/>
    <cellStyle name="Check Cell 2 2" xfId="802"/>
    <cellStyle name="Check Cell 2 3" xfId="803"/>
    <cellStyle name="Check Cell 2 4" xfId="804"/>
    <cellStyle name="Check Cell 2_05_ZZZImmobilisations_Backup 2009-12" xfId="805"/>
    <cellStyle name="Check Cell 3" xfId="806"/>
    <cellStyle name="Check Cell 4" xfId="807"/>
    <cellStyle name="Check Cell 5" xfId="808"/>
    <cellStyle name="Check Cell 6" xfId="809"/>
    <cellStyle name="Check Cell 7" xfId="810"/>
    <cellStyle name="Check Cell 8" xfId="811"/>
    <cellStyle name="Check Cell 9" xfId="812"/>
    <cellStyle name="Code" xfId="813"/>
    <cellStyle name="Code Section" xfId="814"/>
    <cellStyle name="ColumnHead" xfId="815"/>
    <cellStyle name="Comma  - Style1" xfId="816"/>
    <cellStyle name="Comma  - Style2" xfId="817"/>
    <cellStyle name="Comma  - Style3" xfId="818"/>
    <cellStyle name="Comma  - Style4" xfId="819"/>
    <cellStyle name="Comma  - Style5" xfId="820"/>
    <cellStyle name="Comma  - Style6" xfId="821"/>
    <cellStyle name="Comma  - Style7" xfId="822"/>
    <cellStyle name="Comma  - Style8" xfId="823"/>
    <cellStyle name="Comma 2" xfId="824"/>
    <cellStyle name="Commentaire" xfId="825"/>
    <cellStyle name="Commentaire 2" xfId="826"/>
    <cellStyle name="Commentaire 3" xfId="827"/>
    <cellStyle name="Commentaire 4" xfId="828"/>
    <cellStyle name="Commentaire 5" xfId="829"/>
    <cellStyle name="Commentaire 6" xfId="830"/>
    <cellStyle name="Commentaire 7" xfId="831"/>
    <cellStyle name="Commentaire 8" xfId="832"/>
    <cellStyle name="Commentaire 9" xfId="833"/>
    <cellStyle name="Commentaire_07.2 - ID en KP" xfId="834"/>
    <cellStyle name="Constr_input" xfId="835"/>
    <cellStyle name="CoTitle" xfId="836"/>
    <cellStyle name="Curr-$" xfId="837"/>
    <cellStyle name="Curr-£" xfId="838"/>
    <cellStyle name="Currency [$0]" xfId="839"/>
    <cellStyle name="Currency [£0]" xfId="840"/>
    <cellStyle name="Currency [2]" xfId="841"/>
    <cellStyle name="Currency-$" xfId="842"/>
    <cellStyle name="Currency-£" xfId="843"/>
    <cellStyle name="Currency-F" xfId="844"/>
    <cellStyle name="Curr-F" xfId="845"/>
    <cellStyle name="Dash" xfId="846"/>
    <cellStyle name="Data_0dp" xfId="847"/>
    <cellStyle name="date" xfId="848"/>
    <cellStyle name="date 2" xfId="849"/>
    <cellStyle name="date 3" xfId="850"/>
    <cellStyle name="date 4" xfId="851"/>
    <cellStyle name="date 5" xfId="852"/>
    <cellStyle name="date 6" xfId="853"/>
    <cellStyle name="DateLong" xfId="854"/>
    <cellStyle name="DateShort" xfId="855"/>
    <cellStyle name="Derive" xfId="856"/>
    <cellStyle name="Derive 2" xfId="857"/>
    <cellStyle name="Derive 2 2" xfId="858"/>
    <cellStyle name="Derive 2 3" xfId="859"/>
    <cellStyle name="Derive 2 4" xfId="860"/>
    <cellStyle name="Derive 2 5" xfId="861"/>
    <cellStyle name="Derive 2 6" xfId="862"/>
    <cellStyle name="Derive 2 7" xfId="863"/>
    <cellStyle name="Derive 2 8" xfId="864"/>
    <cellStyle name="Derive 2 9" xfId="865"/>
    <cellStyle name="Derive 2_Feuil1" xfId="866"/>
    <cellStyle name="Derive 3" xfId="867"/>
    <cellStyle name="Derive 3 2" xfId="868"/>
    <cellStyle name="Derive 3 3" xfId="869"/>
    <cellStyle name="Derive 3 4" xfId="870"/>
    <cellStyle name="Derive 3 5" xfId="871"/>
    <cellStyle name="Derive 3 6" xfId="872"/>
    <cellStyle name="Derive 3 7" xfId="873"/>
    <cellStyle name="Derive 3 8" xfId="874"/>
    <cellStyle name="Derive 3 9" xfId="875"/>
    <cellStyle name="Derive 3_Feuil1" xfId="876"/>
    <cellStyle name="Derive 4" xfId="877"/>
    <cellStyle name="Derive 4 2" xfId="878"/>
    <cellStyle name="Derive 4 3" xfId="879"/>
    <cellStyle name="Derive 4 4" xfId="880"/>
    <cellStyle name="Derive 4 5" xfId="881"/>
    <cellStyle name="Derive 4 6" xfId="882"/>
    <cellStyle name="Derive 4 7" xfId="883"/>
    <cellStyle name="Derive 4 8" xfId="884"/>
    <cellStyle name="Derive 4 9" xfId="885"/>
    <cellStyle name="Derive 4_Feuil1" xfId="886"/>
    <cellStyle name="Derive 5" xfId="887"/>
    <cellStyle name="Derive 5 2" xfId="888"/>
    <cellStyle name="Derive 5 3" xfId="889"/>
    <cellStyle name="Derive 5 4" xfId="890"/>
    <cellStyle name="Derive 5 5" xfId="891"/>
    <cellStyle name="Derive 5 6" xfId="892"/>
    <cellStyle name="Derive 5 7" xfId="893"/>
    <cellStyle name="Derive 5 8" xfId="894"/>
    <cellStyle name="Derive 5 9" xfId="895"/>
    <cellStyle name="Derive 5_Feuil1" xfId="896"/>
    <cellStyle name="Derive 6" xfId="897"/>
    <cellStyle name="Derive 6 2" xfId="898"/>
    <cellStyle name="Derive 6 3" xfId="899"/>
    <cellStyle name="Derive 6 4" xfId="900"/>
    <cellStyle name="Derive 6 5" xfId="901"/>
    <cellStyle name="Derive 6 6" xfId="902"/>
    <cellStyle name="Derive 6 7" xfId="903"/>
    <cellStyle name="Derive 6 8" xfId="904"/>
    <cellStyle name="Derive 6 9" xfId="905"/>
    <cellStyle name="Derive 6_Feuil1" xfId="906"/>
    <cellStyle name="Derive 7" xfId="907"/>
    <cellStyle name="Derive 7 2" xfId="908"/>
    <cellStyle name="Derive 7 3" xfId="909"/>
    <cellStyle name="Derive 7 4" xfId="910"/>
    <cellStyle name="Derive 7 5" xfId="911"/>
    <cellStyle name="Derive 7 6" xfId="912"/>
    <cellStyle name="Derive 7 7" xfId="913"/>
    <cellStyle name="Derive 7 8" xfId="914"/>
    <cellStyle name="Derive 7 9" xfId="915"/>
    <cellStyle name="Derive 7_Feuil1" xfId="916"/>
    <cellStyle name="Derive 8" xfId="917"/>
    <cellStyle name="Derive 9" xfId="918"/>
    <cellStyle name="Derive_G2.2" xfId="919"/>
    <cellStyle name="Emphasis 1" xfId="920"/>
    <cellStyle name="Emphasis 2" xfId="921"/>
    <cellStyle name="Emphasis 3" xfId="922"/>
    <cellStyle name="Empty1" xfId="923"/>
    <cellStyle name="Enlever" xfId="924"/>
    <cellStyle name="Entrée" xfId="925"/>
    <cellStyle name="Entrée 2" xfId="926"/>
    <cellStyle name="Entrée_07.2 - ID en KP" xfId="927"/>
    <cellStyle name="EUR/(MWh/j)/an" xfId="928"/>
    <cellStyle name="EUR/(MWh/j)/an 2" xfId="929"/>
    <cellStyle name="EUR/(MWh/j)/an 3" xfId="930"/>
    <cellStyle name="EUR/(MWh/j)/an 4" xfId="931"/>
    <cellStyle name="EUR/(MWh/j)/an 5" xfId="932"/>
    <cellStyle name="EUR/(MWh/j)/an 6" xfId="933"/>
    <cellStyle name="EUR/(MWh/j)/an 7" xfId="934"/>
    <cellStyle name="EUR/(MWh/j)/an 8" xfId="935"/>
    <cellStyle name="EUR/(MWh/j)/an 9" xfId="936"/>
    <cellStyle name="EUR/an" xfId="937"/>
    <cellStyle name="EUR/an 2" xfId="938"/>
    <cellStyle name="EUR/an 3" xfId="939"/>
    <cellStyle name="EUR/an 4" xfId="940"/>
    <cellStyle name="EUR/an 5" xfId="941"/>
    <cellStyle name="EUR/an 6" xfId="942"/>
    <cellStyle name="EUR/an 7" xfId="943"/>
    <cellStyle name="EUR/an 8" xfId="944"/>
    <cellStyle name="EUR/an 9" xfId="945"/>
    <cellStyle name="EUR/MWh" xfId="946"/>
    <cellStyle name="EUR/MWh 2" xfId="947"/>
    <cellStyle name="EUR/MWh 3" xfId="948"/>
    <cellStyle name="EUR/MWh 4" xfId="949"/>
    <cellStyle name="EUR/MWh 5" xfId="950"/>
    <cellStyle name="EUR/MWh 6" xfId="951"/>
    <cellStyle name="EUR/MWh 7" xfId="952"/>
    <cellStyle name="EUR/MWh 8" xfId="953"/>
    <cellStyle name="EUR/MWh 9" xfId="954"/>
    <cellStyle name="Euro" xfId="955"/>
    <cellStyle name="Euro 10" xfId="956"/>
    <cellStyle name="Euro 11" xfId="957"/>
    <cellStyle name="Euro 12" xfId="958"/>
    <cellStyle name="Euro 13" xfId="959"/>
    <cellStyle name="Euro 2" xfId="960"/>
    <cellStyle name="Euro 2 10" xfId="961"/>
    <cellStyle name="Euro 2 11" xfId="962"/>
    <cellStyle name="Euro 2 2" xfId="963"/>
    <cellStyle name="Euro 2 2 2" xfId="964"/>
    <cellStyle name="Euro 2 2 3" xfId="965"/>
    <cellStyle name="Euro 2 2 4" xfId="966"/>
    <cellStyle name="Euro 2 3" xfId="967"/>
    <cellStyle name="Euro 2 4" xfId="968"/>
    <cellStyle name="Euro 2 5" xfId="969"/>
    <cellStyle name="Euro 2 6" xfId="970"/>
    <cellStyle name="Euro 2 7" xfId="971"/>
    <cellStyle name="Euro 2 8" xfId="972"/>
    <cellStyle name="Euro 2 9" xfId="973"/>
    <cellStyle name="Euro 2_Feuil1" xfId="974"/>
    <cellStyle name="Euro 3" xfId="975"/>
    <cellStyle name="Euro 4" xfId="976"/>
    <cellStyle name="Euro 4 2" xfId="977"/>
    <cellStyle name="Euro 4 3" xfId="978"/>
    <cellStyle name="Euro 4 4" xfId="979"/>
    <cellStyle name="Euro 5" xfId="980"/>
    <cellStyle name="Euro 6" xfId="981"/>
    <cellStyle name="Euro 7" xfId="982"/>
    <cellStyle name="Euro 8" xfId="983"/>
    <cellStyle name="Euro 9" xfId="984"/>
    <cellStyle name="Euro_03.4 v1807" xfId="985"/>
    <cellStyle name="Ex_MISTO" xfId="986"/>
    <cellStyle name="Explanation" xfId="987"/>
    <cellStyle name="Explanatory Text" xfId="988"/>
    <cellStyle name="Explanatory Text 10" xfId="989"/>
    <cellStyle name="Explanatory Text 11" xfId="990"/>
    <cellStyle name="Explanatory Text 2" xfId="991"/>
    <cellStyle name="Explanatory Text 2 2" xfId="992"/>
    <cellStyle name="Explanatory Text 2 3" xfId="993"/>
    <cellStyle name="Explanatory Text 2 4" xfId="994"/>
    <cellStyle name="Explanatory Text 2_BrochureGroupe2_2009.12_091210_0900" xfId="995"/>
    <cellStyle name="Explanatory Text 3" xfId="996"/>
    <cellStyle name="Explanatory Text 4" xfId="997"/>
    <cellStyle name="Explanatory Text 5" xfId="998"/>
    <cellStyle name="Explanatory Text 6" xfId="999"/>
    <cellStyle name="Explanatory Text 7" xfId="1000"/>
    <cellStyle name="Explanatory Text 8" xfId="1001"/>
    <cellStyle name="Explanatory Text 9" xfId="1002"/>
    <cellStyle name="Financier" xfId="1003"/>
    <cellStyle name="Financier 2" xfId="1004"/>
    <cellStyle name="Financier 3" xfId="1005"/>
    <cellStyle name="Financier 4" xfId="1006"/>
    <cellStyle name="Financier 5" xfId="1007"/>
    <cellStyle name="Financier 6" xfId="1008"/>
    <cellStyle name="Footnotes" xfId="1009"/>
    <cellStyle name="FormattingSheetDelimitor" xfId="1010"/>
    <cellStyle name="FormattingSheetDelimitor 10" xfId="1011"/>
    <cellStyle name="FormattingSheetDelimitor 11" xfId="1012"/>
    <cellStyle name="FormattingSheetDelimitor 2" xfId="1013"/>
    <cellStyle name="FormattingSheetDelimitor 3" xfId="1014"/>
    <cellStyle name="FormattingSheetDelimitor 4" xfId="1015"/>
    <cellStyle name="FormattingSheetDelimitor 5" xfId="1016"/>
    <cellStyle name="FormattingSheetDelimitor 6" xfId="1017"/>
    <cellStyle name="FormattingSheetDelimitor 7" xfId="1018"/>
    <cellStyle name="FormattingSheetDelimitor 8" xfId="1019"/>
    <cellStyle name="FormattingSheetDelimitor 9" xfId="1020"/>
    <cellStyle name="FormattingSheetDelimitor_Feuil1" xfId="1021"/>
    <cellStyle name="Formula" xfId="1022"/>
    <cellStyle name="fred" xfId="1023"/>
    <cellStyle name="Fred%" xfId="1024"/>
    <cellStyle name="Good" xfId="1025"/>
    <cellStyle name="Good 10" xfId="1026"/>
    <cellStyle name="Good 11" xfId="1027"/>
    <cellStyle name="Good 2" xfId="1028"/>
    <cellStyle name="Good 2 2" xfId="1029"/>
    <cellStyle name="Good 2 3" xfId="1030"/>
    <cellStyle name="Good 2 4" xfId="1031"/>
    <cellStyle name="Good 2_BrochureGroupe2_2009.12_091210_0900" xfId="1032"/>
    <cellStyle name="Good 3" xfId="1033"/>
    <cellStyle name="Good 4" xfId="1034"/>
    <cellStyle name="Good 5" xfId="1035"/>
    <cellStyle name="Good 6" xfId="1036"/>
    <cellStyle name="Good 7" xfId="1037"/>
    <cellStyle name="Good 8" xfId="1038"/>
    <cellStyle name="Good 9" xfId="1039"/>
    <cellStyle name="Grey" xfId="1040"/>
    <cellStyle name="Grey 2" xfId="1041"/>
    <cellStyle name="Grey 3" xfId="1042"/>
    <cellStyle name="Grey 4" xfId="1043"/>
    <cellStyle name="Grey 5" xfId="1044"/>
    <cellStyle name="Grey 6" xfId="1045"/>
    <cellStyle name="-Haut de tableau" xfId="1046"/>
    <cellStyle name="Header1" xfId="1047"/>
    <cellStyle name="Header2" xfId="1048"/>
    <cellStyle name="Heading 1" xfId="1049"/>
    <cellStyle name="Heading 1 10" xfId="1050"/>
    <cellStyle name="Heading 1 11" xfId="1051"/>
    <cellStyle name="Heading 1 2" xfId="1052"/>
    <cellStyle name="Heading 1 2 2" xfId="1053"/>
    <cellStyle name="Heading 1 2 3" xfId="1054"/>
    <cellStyle name="Heading 1 2 4" xfId="1055"/>
    <cellStyle name="Heading 1 2_05_ZZZImmobilisations_Backup 2009-12" xfId="1056"/>
    <cellStyle name="Heading 1 3" xfId="1057"/>
    <cellStyle name="Heading 1 4" xfId="1058"/>
    <cellStyle name="Heading 1 5" xfId="1059"/>
    <cellStyle name="Heading 1 6" xfId="1060"/>
    <cellStyle name="Heading 1 7" xfId="1061"/>
    <cellStyle name="Heading 1 8" xfId="1062"/>
    <cellStyle name="Heading 1 9" xfId="1063"/>
    <cellStyle name="Heading 2" xfId="1064"/>
    <cellStyle name="Heading 2 10" xfId="1065"/>
    <cellStyle name="Heading 2 11" xfId="1066"/>
    <cellStyle name="Heading 2 2" xfId="1067"/>
    <cellStyle name="Heading 2 2 2" xfId="1068"/>
    <cellStyle name="Heading 2 2 3" xfId="1069"/>
    <cellStyle name="Heading 2 2 4" xfId="1070"/>
    <cellStyle name="Heading 2 2_05_ZZZImmobilisations_Backup 2009-12" xfId="1071"/>
    <cellStyle name="Heading 2 3" xfId="1072"/>
    <cellStyle name="Heading 2 4" xfId="1073"/>
    <cellStyle name="Heading 2 5" xfId="1074"/>
    <cellStyle name="Heading 2 6" xfId="1075"/>
    <cellStyle name="Heading 2 7" xfId="1076"/>
    <cellStyle name="Heading 2 8" xfId="1077"/>
    <cellStyle name="Heading 2 9" xfId="1078"/>
    <cellStyle name="Heading 3" xfId="1079"/>
    <cellStyle name="Heading 3 10" xfId="1080"/>
    <cellStyle name="Heading 3 11" xfId="1081"/>
    <cellStyle name="Heading 3 2" xfId="1082"/>
    <cellStyle name="Heading 3 2 2" xfId="1083"/>
    <cellStyle name="Heading 3 2 3" xfId="1084"/>
    <cellStyle name="Heading 3 2 4" xfId="1085"/>
    <cellStyle name="Heading 3 2_05_ZZZImmobilisations_Backup 2009-12" xfId="1086"/>
    <cellStyle name="Heading 3 3" xfId="1087"/>
    <cellStyle name="Heading 3 4" xfId="1088"/>
    <cellStyle name="Heading 3 5" xfId="1089"/>
    <cellStyle name="Heading 3 6" xfId="1090"/>
    <cellStyle name="Heading 3 7" xfId="1091"/>
    <cellStyle name="Heading 3 8" xfId="1092"/>
    <cellStyle name="Heading 3 9" xfId="1093"/>
    <cellStyle name="Heading 4" xfId="1094"/>
    <cellStyle name="Heading 4 10" xfId="1095"/>
    <cellStyle name="Heading 4 11" xfId="1096"/>
    <cellStyle name="Heading 4 2" xfId="1097"/>
    <cellStyle name="Heading 4 2 2" xfId="1098"/>
    <cellStyle name="Heading 4 2 3" xfId="1099"/>
    <cellStyle name="Heading 4 2 4" xfId="1100"/>
    <cellStyle name="Heading 4 2_BrochureGroupe2_2009.12_091210_0900" xfId="1101"/>
    <cellStyle name="Heading 4 3" xfId="1102"/>
    <cellStyle name="Heading 4 4" xfId="1103"/>
    <cellStyle name="Heading 4 5" xfId="1104"/>
    <cellStyle name="Heading 4 6" xfId="1105"/>
    <cellStyle name="Heading 4 7" xfId="1106"/>
    <cellStyle name="Heading 4 8" xfId="1107"/>
    <cellStyle name="Heading 4 9" xfId="1108"/>
    <cellStyle name="Heading1" xfId="1109"/>
    <cellStyle name="Heading2" xfId="1110"/>
    <cellStyle name="Heading3" xfId="1111"/>
    <cellStyle name="Headings" xfId="1112"/>
    <cellStyle name="Hyperlink seguido_COF" xfId="1113"/>
    <cellStyle name="Info_Main" xfId="1114"/>
    <cellStyle name="Input [yellow]" xfId="1115"/>
    <cellStyle name="Input 10" xfId="1116"/>
    <cellStyle name="Input 11" xfId="1117"/>
    <cellStyle name="Input 2" xfId="1118"/>
    <cellStyle name="Input 2 2" xfId="1119"/>
    <cellStyle name="Input 2 3" xfId="1120"/>
    <cellStyle name="Input 2 4" xfId="1121"/>
    <cellStyle name="Input 2_05_ZZZImmobilisations_Backup 2009-12" xfId="1122"/>
    <cellStyle name="Input 3" xfId="1123"/>
    <cellStyle name="Input 4" xfId="1124"/>
    <cellStyle name="Input 5" xfId="1125"/>
    <cellStyle name="Input 6" xfId="1126"/>
    <cellStyle name="Input 7" xfId="1127"/>
    <cellStyle name="Input 8" xfId="1128"/>
    <cellStyle name="Input 9" xfId="1129"/>
    <cellStyle name="InputCell" xfId="1130"/>
    <cellStyle name="InputComma" xfId="1131"/>
    <cellStyle name="inputdate" xfId="1132"/>
    <cellStyle name="inputdate 2" xfId="1133"/>
    <cellStyle name="inputdate 3" xfId="1134"/>
    <cellStyle name="inputdate 4" xfId="1135"/>
    <cellStyle name="inputdate 5" xfId="1136"/>
    <cellStyle name="inputdate 6" xfId="1137"/>
    <cellStyle name="inputpercent" xfId="1138"/>
    <cellStyle name="Insatisfaisant 2" xfId="1139"/>
    <cellStyle name="Insatisfaisant 3" xfId="1140"/>
    <cellStyle name="Insatisfaisant 4" xfId="1141"/>
    <cellStyle name="Insatisfaisant 5" xfId="1142"/>
    <cellStyle name="Insatisfaisant 6" xfId="1143"/>
    <cellStyle name="Insatisfaisant 7" xfId="1144"/>
    <cellStyle name="Insatisfaisant 8" xfId="1145"/>
    <cellStyle name="Insatisfaisant 9" xfId="1146"/>
    <cellStyle name="Lien hypertexte" xfId="1147" builtinId="8"/>
    <cellStyle name="Lien hypertexte visit?" xfId="1148"/>
    <cellStyle name="Linked Cell 10" xfId="1149"/>
    <cellStyle name="Linked Cell 11" xfId="1150"/>
    <cellStyle name="Linked Cell 2" xfId="1151"/>
    <cellStyle name="Linked Cell 2 2" xfId="1152"/>
    <cellStyle name="Linked Cell 2 3" xfId="1153"/>
    <cellStyle name="Linked Cell 2 4" xfId="1154"/>
    <cellStyle name="Linked Cell 2_05_ZZZImmobilisations_Backup 2009-12" xfId="1155"/>
    <cellStyle name="Linked Cell 3" xfId="1156"/>
    <cellStyle name="Linked Cell 4" xfId="1157"/>
    <cellStyle name="Linked Cell 5" xfId="1158"/>
    <cellStyle name="Linked Cell 6" xfId="1159"/>
    <cellStyle name="Linked Cell 7" xfId="1160"/>
    <cellStyle name="Linked Cell 8" xfId="1161"/>
    <cellStyle name="Linked Cell 9" xfId="1162"/>
    <cellStyle name="M€" xfId="1163"/>
    <cellStyle name="M€ 2" xfId="1164"/>
    <cellStyle name="M€ 2 2" xfId="1165"/>
    <cellStyle name="M€ 2 3" xfId="1166"/>
    <cellStyle name="M€ 2 4" xfId="1167"/>
    <cellStyle name="M€ 2 5" xfId="1168"/>
    <cellStyle name="M€ 2 6" xfId="1169"/>
    <cellStyle name="M€ 2 7" xfId="1170"/>
    <cellStyle name="M€ 2 8" xfId="1171"/>
    <cellStyle name="M€ 2 9" xfId="1172"/>
    <cellStyle name="M€ 3" xfId="1173"/>
    <cellStyle name="M€ 3 2" xfId="1174"/>
    <cellStyle name="M€ 3 3" xfId="1175"/>
    <cellStyle name="M€ 3 4" xfId="1176"/>
    <cellStyle name="M€ 3 5" xfId="1177"/>
    <cellStyle name="M€ 3 6" xfId="1178"/>
    <cellStyle name="M€ 3 7" xfId="1179"/>
    <cellStyle name="M€ 3 8" xfId="1180"/>
    <cellStyle name="M€ 3 9" xfId="1181"/>
    <cellStyle name="M€ 4" xfId="1182"/>
    <cellStyle name="M€ 4 2" xfId="1183"/>
    <cellStyle name="M€ 4 3" xfId="1184"/>
    <cellStyle name="M€ 4 4" xfId="1185"/>
    <cellStyle name="M€ 4 5" xfId="1186"/>
    <cellStyle name="M€ 4 6" xfId="1187"/>
    <cellStyle name="M€ 4 7" xfId="1188"/>
    <cellStyle name="M€ 4 8" xfId="1189"/>
    <cellStyle name="M€ 4 9" xfId="1190"/>
    <cellStyle name="M€ 5" xfId="1191"/>
    <cellStyle name="M€ 5 2" xfId="1192"/>
    <cellStyle name="M€ 5 3" xfId="1193"/>
    <cellStyle name="M€ 5 4" xfId="1194"/>
    <cellStyle name="M€ 5 5" xfId="1195"/>
    <cellStyle name="M€ 5 6" xfId="1196"/>
    <cellStyle name="M€ 5 7" xfId="1197"/>
    <cellStyle name="M€ 5 8" xfId="1198"/>
    <cellStyle name="M€ 5 9" xfId="1199"/>
    <cellStyle name="M€ 6" xfId="1200"/>
    <cellStyle name="M€ 6 2" xfId="1201"/>
    <cellStyle name="M€ 6 3" xfId="1202"/>
    <cellStyle name="M€ 6 4" xfId="1203"/>
    <cellStyle name="M€ 6 5" xfId="1204"/>
    <cellStyle name="M€ 6 6" xfId="1205"/>
    <cellStyle name="M€ 6 7" xfId="1206"/>
    <cellStyle name="M€ 6 8" xfId="1207"/>
    <cellStyle name="M€ 6 9" xfId="1208"/>
    <cellStyle name="M€ 7" xfId="1209"/>
    <cellStyle name="M€ 7 2" xfId="1210"/>
    <cellStyle name="M€ 7 3" xfId="1211"/>
    <cellStyle name="M€ 7 4" xfId="1212"/>
    <cellStyle name="M€ 7 5" xfId="1213"/>
    <cellStyle name="M€ 7 6" xfId="1214"/>
    <cellStyle name="M€ 7 7" xfId="1215"/>
    <cellStyle name="M€ 7 8" xfId="1216"/>
    <cellStyle name="M€ 7 9" xfId="1217"/>
    <cellStyle name="M€ 8" xfId="1218"/>
    <cellStyle name="M€ 9" xfId="1219"/>
    <cellStyle name="max" xfId="1220"/>
    <cellStyle name="Migliaia (0)" xfId="1221"/>
    <cellStyle name="Migliaia [0]_Base" xfId="1222"/>
    <cellStyle name="Migliaia_Portefeuille_It" xfId="1223"/>
    <cellStyle name="Millares [0]_Deudas EDC 122001" xfId="1224"/>
    <cellStyle name="Millares_CA 2006 V2" xfId="1225"/>
    <cellStyle name="Milliards" xfId="1226"/>
    <cellStyle name="Milliards 2" xfId="1227"/>
    <cellStyle name="Milliards 3" xfId="1228"/>
    <cellStyle name="Milliards 4" xfId="1229"/>
    <cellStyle name="Milliards 5" xfId="1230"/>
    <cellStyle name="Milliards 6" xfId="1231"/>
    <cellStyle name="Milliards 7" xfId="1232"/>
    <cellStyle name="Milliards 8" xfId="1233"/>
    <cellStyle name="Milliards 9" xfId="1234"/>
    <cellStyle name="Milliards_09.4 - Répartition sectorielle" xfId="1235"/>
    <cellStyle name="Milliers" xfId="1236" builtinId="3"/>
    <cellStyle name="Milliers 10" xfId="1237"/>
    <cellStyle name="Milliers 11" xfId="1238"/>
    <cellStyle name="Milliers 12" xfId="1239"/>
    <cellStyle name="Milliers 13" xfId="1240"/>
    <cellStyle name="Milliers 2" xfId="1241"/>
    <cellStyle name="Milliers 2 10" xfId="1242"/>
    <cellStyle name="Milliers 2 2" xfId="1243"/>
    <cellStyle name="Milliers 2 3" xfId="1244"/>
    <cellStyle name="Milliers 2 4" xfId="1245"/>
    <cellStyle name="Milliers 2 5" xfId="1246"/>
    <cellStyle name="Milliers 2 6" xfId="1247"/>
    <cellStyle name="Milliers 2 7" xfId="1248"/>
    <cellStyle name="Milliers 2 8" xfId="1249"/>
    <cellStyle name="Milliers 2 9" xfId="1250"/>
    <cellStyle name="Milliers 2_DA valeur" xfId="1251"/>
    <cellStyle name="Milliers 3" xfId="1252"/>
    <cellStyle name="Milliers 3 10" xfId="1253"/>
    <cellStyle name="Milliers 3 11" xfId="1254"/>
    <cellStyle name="Milliers 3 12" xfId="1255"/>
    <cellStyle name="Milliers 3 13" xfId="1256"/>
    <cellStyle name="Milliers 3 2" xfId="1257"/>
    <cellStyle name="Milliers 3 2 2" xfId="1258"/>
    <cellStyle name="Milliers 3 2 3" xfId="1259"/>
    <cellStyle name="Milliers 3 2 4" xfId="1260"/>
    <cellStyle name="Milliers 3 2 5" xfId="1261"/>
    <cellStyle name="Milliers 3 3" xfId="1262"/>
    <cellStyle name="Milliers 3 3 2" xfId="1263"/>
    <cellStyle name="Milliers 3 3 3" xfId="1264"/>
    <cellStyle name="Milliers 3 3 4" xfId="1265"/>
    <cellStyle name="Milliers 3 4" xfId="1266"/>
    <cellStyle name="Milliers 3 5" xfId="1267"/>
    <cellStyle name="Milliers 3 6" xfId="1268"/>
    <cellStyle name="Milliers 3 7" xfId="1269"/>
    <cellStyle name="Milliers 3 8" xfId="1270"/>
    <cellStyle name="Milliers 3 9" xfId="1271"/>
    <cellStyle name="Milliers 3_Feuil1" xfId="1272"/>
    <cellStyle name="Milliers 4" xfId="1273"/>
    <cellStyle name="Milliers 5" xfId="1274"/>
    <cellStyle name="Milliers 5 2" xfId="1275"/>
    <cellStyle name="Milliers 5 3" xfId="1276"/>
    <cellStyle name="Milliers 5 4" xfId="1277"/>
    <cellStyle name="Milliers 5 5" xfId="1278"/>
    <cellStyle name="Milliers 6" xfId="1279"/>
    <cellStyle name="Milliers 7" xfId="1280"/>
    <cellStyle name="Milliers 8" xfId="1281"/>
    <cellStyle name="Milliers 9" xfId="1282"/>
    <cellStyle name="Millions" xfId="1283"/>
    <cellStyle name="Millions 2" xfId="1284"/>
    <cellStyle name="Millions 3" xfId="1285"/>
    <cellStyle name="Millions 4" xfId="1286"/>
    <cellStyle name="Millions 5" xfId="1287"/>
    <cellStyle name="Millions 6" xfId="1288"/>
    <cellStyle name="Millions 7" xfId="1289"/>
    <cellStyle name="Millions 8" xfId="1290"/>
    <cellStyle name="Millions 9" xfId="1291"/>
    <cellStyle name="Millions_09.4 - Répartition sectorielle" xfId="1292"/>
    <cellStyle name="min" xfId="1293"/>
    <cellStyle name="MLComma0" xfId="1294"/>
    <cellStyle name="MLComma0 2" xfId="1295"/>
    <cellStyle name="MLComma0 3" xfId="1296"/>
    <cellStyle name="MLComma0 4" xfId="1297"/>
    <cellStyle name="MLComma0 5" xfId="1298"/>
    <cellStyle name="MLComma0 6" xfId="1299"/>
    <cellStyle name="MLDollar0" xfId="1300"/>
    <cellStyle name="MLDollar0 2" xfId="1301"/>
    <cellStyle name="MLDollar0 2 2" xfId="1302"/>
    <cellStyle name="MLDollar0 2 3" xfId="1303"/>
    <cellStyle name="MLDollar0 2 4" xfId="1304"/>
    <cellStyle name="MLDollar0 2 5" xfId="1305"/>
    <cellStyle name="MLDollar0 2 6" xfId="1306"/>
    <cellStyle name="MLDollar0 2 7" xfId="1307"/>
    <cellStyle name="MLDollar0 2 8" xfId="1308"/>
    <cellStyle name="MLDollar0 2 9" xfId="1309"/>
    <cellStyle name="MLDollar0 3" xfId="1310"/>
    <cellStyle name="MLDollar0 3 2" xfId="1311"/>
    <cellStyle name="MLDollar0 3 3" xfId="1312"/>
    <cellStyle name="MLDollar0 3 4" xfId="1313"/>
    <cellStyle name="MLDollar0 3 5" xfId="1314"/>
    <cellStyle name="MLDollar0 3 6" xfId="1315"/>
    <cellStyle name="MLDollar0 3 7" xfId="1316"/>
    <cellStyle name="MLDollar0 3 8" xfId="1317"/>
    <cellStyle name="MLDollar0 3 9" xfId="1318"/>
    <cellStyle name="MLDollar0 4" xfId="1319"/>
    <cellStyle name="MLDollar0 4 2" xfId="1320"/>
    <cellStyle name="MLDollar0 4 3" xfId="1321"/>
    <cellStyle name="MLDollar0 4 4" xfId="1322"/>
    <cellStyle name="MLDollar0 4 5" xfId="1323"/>
    <cellStyle name="MLDollar0 4 6" xfId="1324"/>
    <cellStyle name="MLDollar0 4 7" xfId="1325"/>
    <cellStyle name="MLDollar0 4 8" xfId="1326"/>
    <cellStyle name="MLDollar0 4 9" xfId="1327"/>
    <cellStyle name="MLDollar0 5" xfId="1328"/>
    <cellStyle name="MLDollar0 5 2" xfId="1329"/>
    <cellStyle name="MLDollar0 5 3" xfId="1330"/>
    <cellStyle name="MLDollar0 5 4" xfId="1331"/>
    <cellStyle name="MLDollar0 5 5" xfId="1332"/>
    <cellStyle name="MLDollar0 5 6" xfId="1333"/>
    <cellStyle name="MLDollar0 5 7" xfId="1334"/>
    <cellStyle name="MLDollar0 5 8" xfId="1335"/>
    <cellStyle name="MLDollar0 5 9" xfId="1336"/>
    <cellStyle name="MLDollar0 6" xfId="1337"/>
    <cellStyle name="MLDollar0 6 2" xfId="1338"/>
    <cellStyle name="MLDollar0 6 3" xfId="1339"/>
    <cellStyle name="MLDollar0 6 4" xfId="1340"/>
    <cellStyle name="MLDollar0 6 5" xfId="1341"/>
    <cellStyle name="MLDollar0 6 6" xfId="1342"/>
    <cellStyle name="MLDollar0 6 7" xfId="1343"/>
    <cellStyle name="MLDollar0 6 8" xfId="1344"/>
    <cellStyle name="MLDollar0 6 9" xfId="1345"/>
    <cellStyle name="MLDollar0 7" xfId="1346"/>
    <cellStyle name="MLDollar0 7 2" xfId="1347"/>
    <cellStyle name="MLDollar0 7 3" xfId="1348"/>
    <cellStyle name="MLDollar0 7 4" xfId="1349"/>
    <cellStyle name="MLDollar0 7 5" xfId="1350"/>
    <cellStyle name="MLDollar0 7 6" xfId="1351"/>
    <cellStyle name="MLDollar0 7 7" xfId="1352"/>
    <cellStyle name="MLDollar0 7 8" xfId="1353"/>
    <cellStyle name="MLDollar0 7 9" xfId="1354"/>
    <cellStyle name="MLDollar0 8" xfId="1355"/>
    <cellStyle name="MLDollar0 9" xfId="1356"/>
    <cellStyle name="MLEuro0" xfId="1357"/>
    <cellStyle name="MLHeaderSection" xfId="1358"/>
    <cellStyle name="MLPercent0" xfId="1359"/>
    <cellStyle name="MLPercent0 2" xfId="1360"/>
    <cellStyle name="MLPercent0 2 2" xfId="1361"/>
    <cellStyle name="MLPercent0 2 3" xfId="1362"/>
    <cellStyle name="MLPercent0 2 4" xfId="1363"/>
    <cellStyle name="MLPercent0 2 5" xfId="1364"/>
    <cellStyle name="MLPercent0 2 6" xfId="1365"/>
    <cellStyle name="MLPercent0 2 7" xfId="1366"/>
    <cellStyle name="MLPercent0 2 8" xfId="1367"/>
    <cellStyle name="MLPercent0 2 9" xfId="1368"/>
    <cellStyle name="MLPercent0 3" xfId="1369"/>
    <cellStyle name="MLPercent0 3 2" xfId="1370"/>
    <cellStyle name="MLPercent0 3 3" xfId="1371"/>
    <cellStyle name="MLPercent0 3 4" xfId="1372"/>
    <cellStyle name="MLPercent0 3 5" xfId="1373"/>
    <cellStyle name="MLPercent0 3 6" xfId="1374"/>
    <cellStyle name="MLPercent0 3 7" xfId="1375"/>
    <cellStyle name="MLPercent0 3 8" xfId="1376"/>
    <cellStyle name="MLPercent0 3 9" xfId="1377"/>
    <cellStyle name="MLPercent0 4" xfId="1378"/>
    <cellStyle name="MLPercent0 4 2" xfId="1379"/>
    <cellStyle name="MLPercent0 4 3" xfId="1380"/>
    <cellStyle name="MLPercent0 4 4" xfId="1381"/>
    <cellStyle name="MLPercent0 4 5" xfId="1382"/>
    <cellStyle name="MLPercent0 4 6" xfId="1383"/>
    <cellStyle name="MLPercent0 4 7" xfId="1384"/>
    <cellStyle name="MLPercent0 4 8" xfId="1385"/>
    <cellStyle name="MLPercent0 4 9" xfId="1386"/>
    <cellStyle name="MLPercent0 5" xfId="1387"/>
    <cellStyle name="MLPercent0 5 2" xfId="1388"/>
    <cellStyle name="MLPercent0 5 3" xfId="1389"/>
    <cellStyle name="MLPercent0 5 4" xfId="1390"/>
    <cellStyle name="MLPercent0 5 5" xfId="1391"/>
    <cellStyle name="MLPercent0 5 6" xfId="1392"/>
    <cellStyle name="MLPercent0 5 7" xfId="1393"/>
    <cellStyle name="MLPercent0 5 8" xfId="1394"/>
    <cellStyle name="MLPercent0 5 9" xfId="1395"/>
    <cellStyle name="MLPercent0 6" xfId="1396"/>
    <cellStyle name="MLPercent0 6 2" xfId="1397"/>
    <cellStyle name="MLPercent0 6 3" xfId="1398"/>
    <cellStyle name="MLPercent0 6 4" xfId="1399"/>
    <cellStyle name="MLPercent0 6 5" xfId="1400"/>
    <cellStyle name="MLPercent0 6 6" xfId="1401"/>
    <cellStyle name="MLPercent0 6 7" xfId="1402"/>
    <cellStyle name="MLPercent0 6 8" xfId="1403"/>
    <cellStyle name="MLPercent0 6 9" xfId="1404"/>
    <cellStyle name="MLPercent0 7" xfId="1405"/>
    <cellStyle name="MLPercent0 7 2" xfId="1406"/>
    <cellStyle name="MLPercent0 7 3" xfId="1407"/>
    <cellStyle name="MLPercent0 7 4" xfId="1408"/>
    <cellStyle name="MLPercent0 7 5" xfId="1409"/>
    <cellStyle name="MLPercent0 7 6" xfId="1410"/>
    <cellStyle name="MLPercent0 7 7" xfId="1411"/>
    <cellStyle name="MLPercent0 7 8" xfId="1412"/>
    <cellStyle name="MLPercent0 7 9" xfId="1413"/>
    <cellStyle name="MLPercent0 8" xfId="1414"/>
    <cellStyle name="MLPercent0 9" xfId="1415"/>
    <cellStyle name="MLPound0" xfId="1416"/>
    <cellStyle name="MLYen0" xfId="1417"/>
    <cellStyle name="Moeda [0]_0701_Amortiz Difer SpotMarket - Urug" xfId="1418"/>
    <cellStyle name="Moeda_0701_Amortiz Difer SpotMarket - Urug" xfId="1419"/>
    <cellStyle name="Moneda [0]_EDC 2002 v6 Versión Definitiva" xfId="1420"/>
    <cellStyle name="Monétaire 2" xfId="1421"/>
    <cellStyle name="Monétaire 2 2" xfId="1422"/>
    <cellStyle name="Monétaire 2 3" xfId="1423"/>
    <cellStyle name="Monétaire 2 4" xfId="1424"/>
    <cellStyle name="Monétaire 2 5" xfId="1425"/>
    <cellStyle name="Monétaire 2 6" xfId="1426"/>
    <cellStyle name="Monétaire 2 7" xfId="1427"/>
    <cellStyle name="Monétaire 2 8" xfId="1428"/>
    <cellStyle name="Monétaire 2 9" xfId="1429"/>
    <cellStyle name="Monétaire 3" xfId="1430"/>
    <cellStyle name="Monétaire 3 2" xfId="1431"/>
    <cellStyle name="Monétaire 3 3" xfId="1432"/>
    <cellStyle name="Monétaire 3 4" xfId="1433"/>
    <cellStyle name="Monétaire 3 5" xfId="1434"/>
    <cellStyle name="Monétaire 3 6" xfId="1435"/>
    <cellStyle name="Monétaire 3 7" xfId="1436"/>
    <cellStyle name="Monétaire 3 8" xfId="1437"/>
    <cellStyle name="Monétaire 3 9" xfId="1438"/>
    <cellStyle name="months" xfId="1439"/>
    <cellStyle name="Multiple" xfId="1440"/>
    <cellStyle name="MW" xfId="1441"/>
    <cellStyle name="Neutral" xfId="1442"/>
    <cellStyle name="Neutral 10" xfId="1443"/>
    <cellStyle name="Neutral 11" xfId="1444"/>
    <cellStyle name="Neutral 2" xfId="1445"/>
    <cellStyle name="Neutral 2 2" xfId="1446"/>
    <cellStyle name="Neutral 2 3" xfId="1447"/>
    <cellStyle name="Neutral 2 4" xfId="1448"/>
    <cellStyle name="Neutral 2_BrochureGroupe2_2009.12_091210_0900" xfId="1449"/>
    <cellStyle name="Neutral 3" xfId="1450"/>
    <cellStyle name="Neutral 4" xfId="1451"/>
    <cellStyle name="Neutral 5" xfId="1452"/>
    <cellStyle name="Neutral 6" xfId="1453"/>
    <cellStyle name="Neutral 7" xfId="1454"/>
    <cellStyle name="Neutral 8" xfId="1455"/>
    <cellStyle name="Neutral 9" xfId="1456"/>
    <cellStyle name="Neutre 2" xfId="1457"/>
    <cellStyle name="Neutre 3" xfId="1458"/>
    <cellStyle name="Neutre 4" xfId="1459"/>
    <cellStyle name="Neutre 5" xfId="1460"/>
    <cellStyle name="Neutre 6" xfId="1461"/>
    <cellStyle name="Neutre 7" xfId="1462"/>
    <cellStyle name="Neutre 8" xfId="1463"/>
    <cellStyle name="Neutre 9" xfId="1464"/>
    <cellStyle name="no dec" xfId="1465"/>
    <cellStyle name="no dec 2" xfId="1466"/>
    <cellStyle name="no dec 3" xfId="1467"/>
    <cellStyle name="no dec 4" xfId="1468"/>
    <cellStyle name="no dec 5" xfId="1469"/>
    <cellStyle name="no dec 6" xfId="1470"/>
    <cellStyle name="Non défini" xfId="1471"/>
    <cellStyle name="Normal" xfId="0" builtinId="0"/>
    <cellStyle name="Normal - Style1" xfId="1472"/>
    <cellStyle name="Normal 10" xfId="1473"/>
    <cellStyle name="Normal 10 2" xfId="1474"/>
    <cellStyle name="Normal 10 3" xfId="1475"/>
    <cellStyle name="Normal 10 4" xfId="1476"/>
    <cellStyle name="Normal 10 5" xfId="1477"/>
    <cellStyle name="Normal 10 6" xfId="1478"/>
    <cellStyle name="Normal 10 7" xfId="1479"/>
    <cellStyle name="Normal 10 8" xfId="1480"/>
    <cellStyle name="Normal 10 9" xfId="1481"/>
    <cellStyle name="Normal 11" xfId="1482"/>
    <cellStyle name="Normal 11 2" xfId="1483"/>
    <cellStyle name="Normal 11 3" xfId="1484"/>
    <cellStyle name="Normal 11 4" xfId="1485"/>
    <cellStyle name="Normal 11 5" xfId="1486"/>
    <cellStyle name="Normal 11 6" xfId="1487"/>
    <cellStyle name="Normal 11 7" xfId="1488"/>
    <cellStyle name="Normal 11 8" xfId="1489"/>
    <cellStyle name="Normal 11 9" xfId="1490"/>
    <cellStyle name="Normal 12" xfId="1491"/>
    <cellStyle name="Normal 12 2" xfId="1492"/>
    <cellStyle name="Normal 12 3" xfId="1493"/>
    <cellStyle name="Normal 12 4" xfId="1494"/>
    <cellStyle name="Normal 12 5" xfId="1495"/>
    <cellStyle name="Normal 12 6" xfId="1496"/>
    <cellStyle name="Normal 12 7" xfId="1497"/>
    <cellStyle name="Normal 12 8" xfId="1498"/>
    <cellStyle name="Normal 12 9" xfId="1499"/>
    <cellStyle name="Normal 13" xfId="1500"/>
    <cellStyle name="Normal 13 2" xfId="1501"/>
    <cellStyle name="Normal 13 3" xfId="1502"/>
    <cellStyle name="Normal 13 4" xfId="1503"/>
    <cellStyle name="Normal 13 5" xfId="1504"/>
    <cellStyle name="Normal 13 6" xfId="1505"/>
    <cellStyle name="Normal 13 7" xfId="1506"/>
    <cellStyle name="Normal 13 8" xfId="1507"/>
    <cellStyle name="Normal 13 9" xfId="1508"/>
    <cellStyle name="Normal 14" xfId="1509"/>
    <cellStyle name="Normal 14 2" xfId="1510"/>
    <cellStyle name="Normal 14 3" xfId="1511"/>
    <cellStyle name="Normal 14 4" xfId="1512"/>
    <cellStyle name="Normal 14 5" xfId="1513"/>
    <cellStyle name="Normal 14 6" xfId="1514"/>
    <cellStyle name="Normal 14 7" xfId="1515"/>
    <cellStyle name="Normal 14 8" xfId="1516"/>
    <cellStyle name="Normal 14 9" xfId="1517"/>
    <cellStyle name="Normal 15" xfId="1518"/>
    <cellStyle name="Normal 15 2" xfId="1519"/>
    <cellStyle name="Normal 15 3" xfId="1520"/>
    <cellStyle name="Normal 15 4" xfId="1521"/>
    <cellStyle name="Normal 15 5" xfId="1522"/>
    <cellStyle name="Normal 15 6" xfId="1523"/>
    <cellStyle name="Normal 15 7" xfId="1524"/>
    <cellStyle name="Normal 15 8" xfId="1525"/>
    <cellStyle name="Normal 15 9" xfId="1526"/>
    <cellStyle name="Normal 15_BrochureGroupe1_2009.12_091210_2000" xfId="1527"/>
    <cellStyle name="Normal 16" xfId="1528"/>
    <cellStyle name="Normal 16 2" xfId="1529"/>
    <cellStyle name="Normal 16 3" xfId="1530"/>
    <cellStyle name="Normal 16 4" xfId="1531"/>
    <cellStyle name="Normal 16 5" xfId="1532"/>
    <cellStyle name="Normal 16 6" xfId="1533"/>
    <cellStyle name="Normal 16 7" xfId="1534"/>
    <cellStyle name="Normal 16 8" xfId="1535"/>
    <cellStyle name="Normal 16 9" xfId="1536"/>
    <cellStyle name="Normal 17" xfId="1537"/>
    <cellStyle name="Normal 17 2" xfId="1538"/>
    <cellStyle name="Normal 17 3" xfId="1539"/>
    <cellStyle name="Normal 17 4" xfId="1540"/>
    <cellStyle name="Normal 17 5" xfId="1541"/>
    <cellStyle name="Normal 17 6" xfId="1542"/>
    <cellStyle name="Normal 17 7" xfId="1543"/>
    <cellStyle name="Normal 17 8" xfId="1544"/>
    <cellStyle name="Normal 17 9" xfId="1545"/>
    <cellStyle name="Normal 2" xfId="1546"/>
    <cellStyle name="Normal 2 10" xfId="1547"/>
    <cellStyle name="Normal 2 10 2" xfId="1548"/>
    <cellStyle name="Normal 2 10 3" xfId="1549"/>
    <cellStyle name="Normal 2 10 4" xfId="1550"/>
    <cellStyle name="Normal 2 10 5" xfId="1551"/>
    <cellStyle name="Normal 2 10 6" xfId="1552"/>
    <cellStyle name="Normal 2 10 7" xfId="1553"/>
    <cellStyle name="Normal 2 10 8" xfId="1554"/>
    <cellStyle name="Normal 2 10 9" xfId="1555"/>
    <cellStyle name="Normal 2 10_Feuil1" xfId="1556"/>
    <cellStyle name="Normal 2 11" xfId="1557"/>
    <cellStyle name="Normal 2 11 2" xfId="1558"/>
    <cellStyle name="Normal 2 11 3" xfId="1559"/>
    <cellStyle name="Normal 2 11 4" xfId="1560"/>
    <cellStyle name="Normal 2 11 5" xfId="1561"/>
    <cellStyle name="Normal 2 11 6" xfId="1562"/>
    <cellStyle name="Normal 2 11 7" xfId="1563"/>
    <cellStyle name="Normal 2 11 8" xfId="1564"/>
    <cellStyle name="Normal 2 11 9" xfId="1565"/>
    <cellStyle name="Normal 2 11_Feuil1" xfId="1566"/>
    <cellStyle name="Normal 2 12" xfId="1567"/>
    <cellStyle name="Normal 2 13" xfId="1568"/>
    <cellStyle name="Normal 2 14" xfId="1569"/>
    <cellStyle name="Normal 2 14 2" xfId="1570"/>
    <cellStyle name="Normal 2 14 3" xfId="1571"/>
    <cellStyle name="Normal 2 14 4" xfId="1572"/>
    <cellStyle name="Normal 2 14_BrochureGroupe1_2009.12_091210_2000" xfId="1573"/>
    <cellStyle name="Normal 2 15" xfId="1574"/>
    <cellStyle name="Normal 2 16" xfId="1575"/>
    <cellStyle name="Normal 2 17" xfId="1576"/>
    <cellStyle name="Normal 2 18" xfId="1577"/>
    <cellStyle name="Normal 2 19" xfId="1578"/>
    <cellStyle name="Normal 2 2" xfId="1579"/>
    <cellStyle name="Normal 2 2 10" xfId="1580"/>
    <cellStyle name="Normal 2 2 11" xfId="1581"/>
    <cellStyle name="Normal 2 2 12" xfId="1582"/>
    <cellStyle name="Normal 2 2 13" xfId="1583"/>
    <cellStyle name="Normal 2 2 2" xfId="1584"/>
    <cellStyle name="Normal 2 2 3" xfId="1585"/>
    <cellStyle name="Normal 2 2 4" xfId="1586"/>
    <cellStyle name="Normal 2 2 4 2" xfId="1587"/>
    <cellStyle name="Normal 2 2 4 3" xfId="1588"/>
    <cellStyle name="Normal 2 2 4 4" xfId="1589"/>
    <cellStyle name="Normal 2 2 5" xfId="1590"/>
    <cellStyle name="Normal 2 2 6" xfId="1591"/>
    <cellStyle name="Normal 2 2 7" xfId="1592"/>
    <cellStyle name="Normal 2 2 8" xfId="1593"/>
    <cellStyle name="Normal 2 2 9" xfId="1594"/>
    <cellStyle name="Normal 2 2_6. CAPEX" xfId="1595"/>
    <cellStyle name="Normal 2 20" xfId="1596"/>
    <cellStyle name="Normal 2 21" xfId="1597"/>
    <cellStyle name="Normal 2 22" xfId="1598"/>
    <cellStyle name="Normal 2 23" xfId="1599"/>
    <cellStyle name="Normal 2 24" xfId="1600"/>
    <cellStyle name="Normal 2 25" xfId="1601"/>
    <cellStyle name="Normal 2 26" xfId="1602"/>
    <cellStyle name="Normal 2 27" xfId="1603"/>
    <cellStyle name="Normal 2 28" xfId="1604"/>
    <cellStyle name="Normal 2 29" xfId="1605"/>
    <cellStyle name="Normal 2 3" xfId="1606"/>
    <cellStyle name="Normal 2 3 10" xfId="1607"/>
    <cellStyle name="Normal 2 3 2" xfId="1608"/>
    <cellStyle name="Normal 2 3 3" xfId="1609"/>
    <cellStyle name="Normal 2 3 4" xfId="1610"/>
    <cellStyle name="Normal 2 3 5" xfId="1611"/>
    <cellStyle name="Normal 2 3 6" xfId="1612"/>
    <cellStyle name="Normal 2 3 7" xfId="1613"/>
    <cellStyle name="Normal 2 3 8" xfId="1614"/>
    <cellStyle name="Normal 2 3 9" xfId="1615"/>
    <cellStyle name="Normal 2 3_Feuil1" xfId="1616"/>
    <cellStyle name="Normal 2 30" xfId="1617"/>
    <cellStyle name="Normal 2 4" xfId="1618"/>
    <cellStyle name="Normal 2 4 2" xfId="1619"/>
    <cellStyle name="Normal 2 4 3" xfId="1620"/>
    <cellStyle name="Normal 2 4 4" xfId="1621"/>
    <cellStyle name="Normal 2 4 5" xfId="1622"/>
    <cellStyle name="Normal 2 4 6" xfId="1623"/>
    <cellStyle name="Normal 2 4 7" xfId="1624"/>
    <cellStyle name="Normal 2 4 8" xfId="1625"/>
    <cellStyle name="Normal 2 4 9" xfId="1626"/>
    <cellStyle name="Normal 2 4_Feuil1" xfId="1627"/>
    <cellStyle name="Normal 2 5" xfId="1628"/>
    <cellStyle name="Normal 2 6" xfId="1629"/>
    <cellStyle name="Normal 2 6 2" xfId="1630"/>
    <cellStyle name="Normal 2 6 3" xfId="1631"/>
    <cellStyle name="Normal 2 6 4" xfId="1632"/>
    <cellStyle name="Normal 2 6 5" xfId="1633"/>
    <cellStyle name="Normal 2 6 6" xfId="1634"/>
    <cellStyle name="Normal 2 6 7" xfId="1635"/>
    <cellStyle name="Normal 2 6 8" xfId="1636"/>
    <cellStyle name="Normal 2 6 9" xfId="1637"/>
    <cellStyle name="Normal 2 6_Feuil1" xfId="1638"/>
    <cellStyle name="Normal 2 7" xfId="1639"/>
    <cellStyle name="Normal 2 7 2" xfId="1640"/>
    <cellStyle name="Normal 2 7 3" xfId="1641"/>
    <cellStyle name="Normal 2 7 4" xfId="1642"/>
    <cellStyle name="Normal 2 7 5" xfId="1643"/>
    <cellStyle name="Normal 2 7 6" xfId="1644"/>
    <cellStyle name="Normal 2 7 7" xfId="1645"/>
    <cellStyle name="Normal 2 7 8" xfId="1646"/>
    <cellStyle name="Normal 2 7 9" xfId="1647"/>
    <cellStyle name="Normal 2 7_Feuil1" xfId="1648"/>
    <cellStyle name="Normal 2 8" xfId="1649"/>
    <cellStyle name="Normal 2 8 2" xfId="1650"/>
    <cellStyle name="Normal 2 8 3" xfId="1651"/>
    <cellStyle name="Normal 2 8 4" xfId="1652"/>
    <cellStyle name="Normal 2 8 5" xfId="1653"/>
    <cellStyle name="Normal 2 8 6" xfId="1654"/>
    <cellStyle name="Normal 2 8 7" xfId="1655"/>
    <cellStyle name="Normal 2 8 8" xfId="1656"/>
    <cellStyle name="Normal 2 8 9" xfId="1657"/>
    <cellStyle name="Normal 2 8_Feuil1" xfId="1658"/>
    <cellStyle name="Normal 2 9" xfId="1659"/>
    <cellStyle name="Normal 2 9 2" xfId="1660"/>
    <cellStyle name="Normal 2 9 3" xfId="1661"/>
    <cellStyle name="Normal 2 9 4" xfId="1662"/>
    <cellStyle name="Normal 2 9 5" xfId="1663"/>
    <cellStyle name="Normal 2 9 6" xfId="1664"/>
    <cellStyle name="Normal 2 9 7" xfId="1665"/>
    <cellStyle name="Normal 2 9 8" xfId="1666"/>
    <cellStyle name="Normal 2 9 9" xfId="1667"/>
    <cellStyle name="Normal 2 9_Feuil1" xfId="1668"/>
    <cellStyle name="Normal 2_ bilan" xfId="1669"/>
    <cellStyle name="Normal 3" xfId="1670"/>
    <cellStyle name="Normal 3 10" xfId="1671"/>
    <cellStyle name="Normal 3 11" xfId="1672"/>
    <cellStyle name="Normal 3 12" xfId="1673"/>
    <cellStyle name="Normal 3 12 2" xfId="1674"/>
    <cellStyle name="Normal 3 12 3" xfId="1675"/>
    <cellStyle name="Normal 3 12 4" xfId="1676"/>
    <cellStyle name="Normal 3 13" xfId="1677"/>
    <cellStyle name="Normal 3 14" xfId="1678"/>
    <cellStyle name="Normal 3 15" xfId="1679"/>
    <cellStyle name="Normal 3 16" xfId="1680"/>
    <cellStyle name="Normal 3 17" xfId="1681"/>
    <cellStyle name="Normal 3 18" xfId="1682"/>
    <cellStyle name="Normal 3 19" xfId="1683"/>
    <cellStyle name="Normal 3 2" xfId="1684"/>
    <cellStyle name="Normal 3 2 2" xfId="1685"/>
    <cellStyle name="Normal 3 2 3" xfId="1686"/>
    <cellStyle name="Normal 3 2 4" xfId="1687"/>
    <cellStyle name="Normal 3 2 5" xfId="1688"/>
    <cellStyle name="Normal 3 2 6" xfId="1689"/>
    <cellStyle name="Normal 3 2 7" xfId="1690"/>
    <cellStyle name="Normal 3 2 8" xfId="1691"/>
    <cellStyle name="Normal 3 2 9" xfId="1692"/>
    <cellStyle name="Normal 3 2_Feuil1" xfId="1693"/>
    <cellStyle name="Normal 3 20" xfId="1694"/>
    <cellStyle name="Normal 3 21" xfId="1695"/>
    <cellStyle name="Normal 3 3" xfId="1696"/>
    <cellStyle name="Normal 3 3 2" xfId="1697"/>
    <cellStyle name="Normal 3 3 3" xfId="1698"/>
    <cellStyle name="Normal 3 3 4" xfId="1699"/>
    <cellStyle name="Normal 3 3 5" xfId="1700"/>
    <cellStyle name="Normal 3 3 6" xfId="1701"/>
    <cellStyle name="Normal 3 3 7" xfId="1702"/>
    <cellStyle name="Normal 3 3 8" xfId="1703"/>
    <cellStyle name="Normal 3 3 9" xfId="1704"/>
    <cellStyle name="Normal 3 3_Feuil1" xfId="1705"/>
    <cellStyle name="Normal 3 4" xfId="1706"/>
    <cellStyle name="Normal 3 4 10" xfId="1707"/>
    <cellStyle name="Normal 3 4 11" xfId="1708"/>
    <cellStyle name="Normal 3 4 12" xfId="1709"/>
    <cellStyle name="Normal 3 4 2" xfId="1710"/>
    <cellStyle name="Normal 3 4 2 2" xfId="1711"/>
    <cellStyle name="Normal 3 4 2 2 2" xfId="1712"/>
    <cellStyle name="Normal 3 4 2 3" xfId="1713"/>
    <cellStyle name="Normal 3 4 2 3 2" xfId="1714"/>
    <cellStyle name="Normal 3 4 2 4" xfId="1715"/>
    <cellStyle name="Normal 3 4 2 4 2" xfId="1716"/>
    <cellStyle name="Normal 3 4 3" xfId="1717"/>
    <cellStyle name="Normal 3 4 3 2" xfId="1718"/>
    <cellStyle name="Normal 3 4 4" xfId="1719"/>
    <cellStyle name="Normal 3 4 4 2" xfId="1720"/>
    <cellStyle name="Normal 3 4 5" xfId="1721"/>
    <cellStyle name="Normal 3 4 5 2" xfId="1722"/>
    <cellStyle name="Normal 3 4 6" xfId="1723"/>
    <cellStyle name="Normal 3 4 6 2" xfId="1724"/>
    <cellStyle name="Normal 3 4 7" xfId="1725"/>
    <cellStyle name="Normal 3 4 7 2" xfId="1726"/>
    <cellStyle name="Normal 3 4 8" xfId="1727"/>
    <cellStyle name="Normal 3 4 8 2" xfId="1728"/>
    <cellStyle name="Normal 3 4 9" xfId="1729"/>
    <cellStyle name="Normal 3 4 9 2" xfId="1730"/>
    <cellStyle name="Normal 3 4_B11" xfId="1731"/>
    <cellStyle name="Normal 3 5" xfId="1732"/>
    <cellStyle name="Normal 3 5 10" xfId="1733"/>
    <cellStyle name="Normal 3 5 11" xfId="1734"/>
    <cellStyle name="Normal 3 5 12" xfId="1735"/>
    <cellStyle name="Normal 3 5 2" xfId="1736"/>
    <cellStyle name="Normal 3 5 2 2" xfId="1737"/>
    <cellStyle name="Normal 3 5 2 2 2" xfId="1738"/>
    <cellStyle name="Normal 3 5 2 3" xfId="1739"/>
    <cellStyle name="Normal 3 5 2 3 2" xfId="1740"/>
    <cellStyle name="Normal 3 5 2 4" xfId="1741"/>
    <cellStyle name="Normal 3 5 2 4 2" xfId="1742"/>
    <cellStyle name="Normal 3 5 3" xfId="1743"/>
    <cellStyle name="Normal 3 5 3 2" xfId="1744"/>
    <cellStyle name="Normal 3 5 4" xfId="1745"/>
    <cellStyle name="Normal 3 5 4 2" xfId="1746"/>
    <cellStyle name="Normal 3 5 5" xfId="1747"/>
    <cellStyle name="Normal 3 5 5 2" xfId="1748"/>
    <cellStyle name="Normal 3 5 6" xfId="1749"/>
    <cellStyle name="Normal 3 5 6 2" xfId="1750"/>
    <cellStyle name="Normal 3 5 7" xfId="1751"/>
    <cellStyle name="Normal 3 5 7 2" xfId="1752"/>
    <cellStyle name="Normal 3 5 8" xfId="1753"/>
    <cellStyle name="Normal 3 5 8 2" xfId="1754"/>
    <cellStyle name="Normal 3 5 9" xfId="1755"/>
    <cellStyle name="Normal 3 5 9 2" xfId="1756"/>
    <cellStyle name="Normal 3 5_B11" xfId="1757"/>
    <cellStyle name="Normal 3 6" xfId="1758"/>
    <cellStyle name="Normal 3 6 10" xfId="1759"/>
    <cellStyle name="Normal 3 6 11" xfId="1760"/>
    <cellStyle name="Normal 3 6 12" xfId="1761"/>
    <cellStyle name="Normal 3 6 2" xfId="1762"/>
    <cellStyle name="Normal 3 6 2 2" xfId="1763"/>
    <cellStyle name="Normal 3 6 2 2 2" xfId="1764"/>
    <cellStyle name="Normal 3 6 2 3" xfId="1765"/>
    <cellStyle name="Normal 3 6 2 3 2" xfId="1766"/>
    <cellStyle name="Normal 3 6 2 4" xfId="1767"/>
    <cellStyle name="Normal 3 6 2 4 2" xfId="1768"/>
    <cellStyle name="Normal 3 6 3" xfId="1769"/>
    <cellStyle name="Normal 3 6 3 2" xfId="1770"/>
    <cellStyle name="Normal 3 6 4" xfId="1771"/>
    <cellStyle name="Normal 3 6 4 2" xfId="1772"/>
    <cellStyle name="Normal 3 6 5" xfId="1773"/>
    <cellStyle name="Normal 3 6 5 2" xfId="1774"/>
    <cellStyle name="Normal 3 6 6" xfId="1775"/>
    <cellStyle name="Normal 3 6 6 2" xfId="1776"/>
    <cellStyle name="Normal 3 6 7" xfId="1777"/>
    <cellStyle name="Normal 3 6 7 2" xfId="1778"/>
    <cellStyle name="Normal 3 6 8" xfId="1779"/>
    <cellStyle name="Normal 3 6 8 2" xfId="1780"/>
    <cellStyle name="Normal 3 6 9" xfId="1781"/>
    <cellStyle name="Normal 3 6 9 2" xfId="1782"/>
    <cellStyle name="Normal 3 6_B11" xfId="1783"/>
    <cellStyle name="Normal 3 7" xfId="1784"/>
    <cellStyle name="Normal 3 7 10" xfId="1785"/>
    <cellStyle name="Normal 3 7 11" xfId="1786"/>
    <cellStyle name="Normal 3 7 12" xfId="1787"/>
    <cellStyle name="Normal 3 7 2" xfId="1788"/>
    <cellStyle name="Normal 3 7 2 2" xfId="1789"/>
    <cellStyle name="Normal 3 7 2 2 2" xfId="1790"/>
    <cellStyle name="Normal 3 7 2 3" xfId="1791"/>
    <cellStyle name="Normal 3 7 2 3 2" xfId="1792"/>
    <cellStyle name="Normal 3 7 2 4" xfId="1793"/>
    <cellStyle name="Normal 3 7 2 4 2" xfId="1794"/>
    <cellStyle name="Normal 3 7 3" xfId="1795"/>
    <cellStyle name="Normal 3 7 3 2" xfId="1796"/>
    <cellStyle name="Normal 3 7 4" xfId="1797"/>
    <cellStyle name="Normal 3 7 4 2" xfId="1798"/>
    <cellStyle name="Normal 3 7 5" xfId="1799"/>
    <cellStyle name="Normal 3 7 5 2" xfId="1800"/>
    <cellStyle name="Normal 3 7 6" xfId="1801"/>
    <cellStyle name="Normal 3 7 6 2" xfId="1802"/>
    <cellStyle name="Normal 3 7 7" xfId="1803"/>
    <cellStyle name="Normal 3 7 7 2" xfId="1804"/>
    <cellStyle name="Normal 3 7 8" xfId="1805"/>
    <cellStyle name="Normal 3 7 8 2" xfId="1806"/>
    <cellStyle name="Normal 3 7 9" xfId="1807"/>
    <cellStyle name="Normal 3 7 9 2" xfId="1808"/>
    <cellStyle name="Normal 3 7_B11" xfId="1809"/>
    <cellStyle name="Normal 3 8" xfId="1810"/>
    <cellStyle name="Normal 3 8 10" xfId="1811"/>
    <cellStyle name="Normal 3 8 11" xfId="1812"/>
    <cellStyle name="Normal 3 8 12" xfId="1813"/>
    <cellStyle name="Normal 3 8 2" xfId="1814"/>
    <cellStyle name="Normal 3 8 2 2" xfId="1815"/>
    <cellStyle name="Normal 3 8 2 2 2" xfId="1816"/>
    <cellStyle name="Normal 3 8 2 3" xfId="1817"/>
    <cellStyle name="Normal 3 8 2 3 2" xfId="1818"/>
    <cellStyle name="Normal 3 8 2 4" xfId="1819"/>
    <cellStyle name="Normal 3 8 2 4 2" xfId="1820"/>
    <cellStyle name="Normal 3 8 3" xfId="1821"/>
    <cellStyle name="Normal 3 8 3 2" xfId="1822"/>
    <cellStyle name="Normal 3 8 4" xfId="1823"/>
    <cellStyle name="Normal 3 8 4 2" xfId="1824"/>
    <cellStyle name="Normal 3 8 5" xfId="1825"/>
    <cellStyle name="Normal 3 8 5 2" xfId="1826"/>
    <cellStyle name="Normal 3 8 6" xfId="1827"/>
    <cellStyle name="Normal 3 8 6 2" xfId="1828"/>
    <cellStyle name="Normal 3 8 7" xfId="1829"/>
    <cellStyle name="Normal 3 8 7 2" xfId="1830"/>
    <cellStyle name="Normal 3 8 8" xfId="1831"/>
    <cellStyle name="Normal 3 8 8 2" xfId="1832"/>
    <cellStyle name="Normal 3 8 9" xfId="1833"/>
    <cellStyle name="Normal 3 8 9 2" xfId="1834"/>
    <cellStyle name="Normal 3 8_B11" xfId="1835"/>
    <cellStyle name="Normal 3 9" xfId="1836"/>
    <cellStyle name="Normal 3 9 10" xfId="1837"/>
    <cellStyle name="Normal 3 9 10 2" xfId="1838"/>
    <cellStyle name="Normal 3 9 11" xfId="1839"/>
    <cellStyle name="Normal 3 9 11 2" xfId="1840"/>
    <cellStyle name="Normal 3 9 12" xfId="1841"/>
    <cellStyle name="Normal 3 9 13" xfId="1842"/>
    <cellStyle name="Normal 3 9 14" xfId="1843"/>
    <cellStyle name="Normal 3 9 2" xfId="1844"/>
    <cellStyle name="Normal 3 9 3" xfId="1845"/>
    <cellStyle name="Normal 3 9 4" xfId="1846"/>
    <cellStyle name="Normal 3 9 4 2" xfId="1847"/>
    <cellStyle name="Normal 3 9 4 2 2" xfId="1848"/>
    <cellStyle name="Normal 3 9 4 3" xfId="1849"/>
    <cellStyle name="Normal 3 9 4 3 2" xfId="1850"/>
    <cellStyle name="Normal 3 9 4 4" xfId="1851"/>
    <cellStyle name="Normal 3 9 4 4 2" xfId="1852"/>
    <cellStyle name="Normal 3 9 5" xfId="1853"/>
    <cellStyle name="Normal 3 9 5 2" xfId="1854"/>
    <cellStyle name="Normal 3 9 6" xfId="1855"/>
    <cellStyle name="Normal 3 9 6 2" xfId="1856"/>
    <cellStyle name="Normal 3 9 7" xfId="1857"/>
    <cellStyle name="Normal 3 9 7 2" xfId="1858"/>
    <cellStyle name="Normal 3 9 8" xfId="1859"/>
    <cellStyle name="Normal 3 9 8 2" xfId="1860"/>
    <cellStyle name="Normal 3 9 9" xfId="1861"/>
    <cellStyle name="Normal 3 9 9 2" xfId="1862"/>
    <cellStyle name="Normal 3 9_B11" xfId="1863"/>
    <cellStyle name="Normal 3_12.1.0 Actifs financiers KR v23-01-2012 16h" xfId="1864"/>
    <cellStyle name="Normal 4" xfId="1865"/>
    <cellStyle name="Normal 4 10" xfId="1866"/>
    <cellStyle name="Normal 4 11" xfId="1867"/>
    <cellStyle name="Normal 4 12" xfId="1868"/>
    <cellStyle name="Normal 4 13" xfId="1869"/>
    <cellStyle name="Normal 4 14" xfId="1870"/>
    <cellStyle name="Normal 4 15" xfId="1871"/>
    <cellStyle name="Normal 4 2" xfId="1872"/>
    <cellStyle name="Normal 4 2 10" xfId="1873"/>
    <cellStyle name="Normal 4 2 11" xfId="1874"/>
    <cellStyle name="Normal 4 2 2" xfId="1875"/>
    <cellStyle name="Normal 4 2 2 2" xfId="1876"/>
    <cellStyle name="Normal 4 2 2 3" xfId="1877"/>
    <cellStyle name="Normal 4 2 2 4" xfId="1878"/>
    <cellStyle name="Normal 4 2 2_BrochureGroupe1_2009.12_091210_2000" xfId="1879"/>
    <cellStyle name="Normal 4 2 3" xfId="1880"/>
    <cellStyle name="Normal 4 2 4" xfId="1881"/>
    <cellStyle name="Normal 4 2 5" xfId="1882"/>
    <cellStyle name="Normal 4 2 6" xfId="1883"/>
    <cellStyle name="Normal 4 2 7" xfId="1884"/>
    <cellStyle name="Normal 4 2 8" xfId="1885"/>
    <cellStyle name="Normal 4 2 9" xfId="1886"/>
    <cellStyle name="Normal 4 2_Feuil1" xfId="1887"/>
    <cellStyle name="Normal 4 3" xfId="1888"/>
    <cellStyle name="Normal 4 3 2" xfId="1889"/>
    <cellStyle name="Normal 4 3 3" xfId="1890"/>
    <cellStyle name="Normal 4 3 4" xfId="1891"/>
    <cellStyle name="Normal 4 3 5" xfId="1892"/>
    <cellStyle name="Normal 4 3 6" xfId="1893"/>
    <cellStyle name="Normal 4 3 7" xfId="1894"/>
    <cellStyle name="Normal 4 3 8" xfId="1895"/>
    <cellStyle name="Normal 4 3 9" xfId="1896"/>
    <cellStyle name="Normal 4 3_BrochureGroupe1_2009.12_091210_2000" xfId="1897"/>
    <cellStyle name="Normal 4 4" xfId="1898"/>
    <cellStyle name="Normal 4 4 10" xfId="1899"/>
    <cellStyle name="Normal 4 4 11" xfId="1900"/>
    <cellStyle name="Normal 4 4 2" xfId="1901"/>
    <cellStyle name="Normal 4 4 2 2" xfId="1902"/>
    <cellStyle name="Normal 4 4 2 3" xfId="1903"/>
    <cellStyle name="Normal 4 4 2 4" xfId="1904"/>
    <cellStyle name="Normal 4 4 3" xfId="1905"/>
    <cellStyle name="Normal 4 4 4" xfId="1906"/>
    <cellStyle name="Normal 4 4 5" xfId="1907"/>
    <cellStyle name="Normal 4 4 6" xfId="1908"/>
    <cellStyle name="Normal 4 4 7" xfId="1909"/>
    <cellStyle name="Normal 4 4 8" xfId="1910"/>
    <cellStyle name="Normal 4 4 9" xfId="1911"/>
    <cellStyle name="Normal 4 4_B11" xfId="1912"/>
    <cellStyle name="Normal 4 5" xfId="1913"/>
    <cellStyle name="Normal 4 5 2" xfId="1914"/>
    <cellStyle name="Normal 4 5 3" xfId="1915"/>
    <cellStyle name="Normal 4 5 4" xfId="1916"/>
    <cellStyle name="Normal 4 6" xfId="1917"/>
    <cellStyle name="Normal 4 7" xfId="1918"/>
    <cellStyle name="Normal 4 8" xfId="1919"/>
    <cellStyle name="Normal 4 9" xfId="1920"/>
    <cellStyle name="Normal 4_ bilan" xfId="1921"/>
    <cellStyle name="Normal 5" xfId="1922"/>
    <cellStyle name="Normal 5 10" xfId="1923"/>
    <cellStyle name="Normal 5 11" xfId="1924"/>
    <cellStyle name="Normal 5 12" xfId="1925"/>
    <cellStyle name="Normal 5 2" xfId="1926"/>
    <cellStyle name="Normal 5 3" xfId="1927"/>
    <cellStyle name="Normal 5 3 2" xfId="1928"/>
    <cellStyle name="Normal 5 3 3" xfId="1929"/>
    <cellStyle name="Normal 5 3 4" xfId="1930"/>
    <cellStyle name="Normal 5 4" xfId="1931"/>
    <cellStyle name="Normal 5 5" xfId="1932"/>
    <cellStyle name="Normal 5 6" xfId="1933"/>
    <cellStyle name="Normal 5 7" xfId="1934"/>
    <cellStyle name="Normal 5 8" xfId="1935"/>
    <cellStyle name="Normal 5 9" xfId="1936"/>
    <cellStyle name="Normal 5_6. CAPEX" xfId="1937"/>
    <cellStyle name="Normal 6" xfId="1938"/>
    <cellStyle name="Normal 6 10" xfId="1939"/>
    <cellStyle name="Normal 6 11" xfId="1940"/>
    <cellStyle name="Normal 6 12" xfId="1941"/>
    <cellStyle name="Normal 6 13" xfId="1942"/>
    <cellStyle name="Normal 6 2" xfId="1943"/>
    <cellStyle name="Normal 6 3" xfId="1944"/>
    <cellStyle name="Normal 6 4" xfId="1945"/>
    <cellStyle name="Normal 6 4 2" xfId="1946"/>
    <cellStyle name="Normal 6 4 3" xfId="1947"/>
    <cellStyle name="Normal 6 4 4" xfId="1948"/>
    <cellStyle name="Normal 6 5" xfId="1949"/>
    <cellStyle name="Normal 6 6" xfId="1950"/>
    <cellStyle name="Normal 6 7" xfId="1951"/>
    <cellStyle name="Normal 6 8" xfId="1952"/>
    <cellStyle name="Normal 6 9" xfId="1953"/>
    <cellStyle name="Normal 6_Feuil1" xfId="1954"/>
    <cellStyle name="Normal 7" xfId="1955"/>
    <cellStyle name="Normal 7 10" xfId="1956"/>
    <cellStyle name="Normal 7 10 2" xfId="1957"/>
    <cellStyle name="Normal 7 11" xfId="1958"/>
    <cellStyle name="Normal 7 11 2" xfId="1959"/>
    <cellStyle name="Normal 7 12" xfId="1960"/>
    <cellStyle name="Normal 7 13" xfId="1961"/>
    <cellStyle name="Normal 7 14" xfId="1962"/>
    <cellStyle name="Normal 7 2" xfId="1963"/>
    <cellStyle name="Normal 7 3" xfId="1964"/>
    <cellStyle name="Normal 7 4" xfId="1965"/>
    <cellStyle name="Normal 7 4 2" xfId="1966"/>
    <cellStyle name="Normal 7 4 2 2" xfId="1967"/>
    <cellStyle name="Normal 7 4 3" xfId="1968"/>
    <cellStyle name="Normal 7 4 3 2" xfId="1969"/>
    <cellStyle name="Normal 7 4 4" xfId="1970"/>
    <cellStyle name="Normal 7 4 4 2" xfId="1971"/>
    <cellStyle name="Normal 7 5" xfId="1972"/>
    <cellStyle name="Normal 7 5 2" xfId="1973"/>
    <cellStyle name="Normal 7 6" xfId="1974"/>
    <cellStyle name="Normal 7 6 2" xfId="1975"/>
    <cellStyle name="Normal 7 7" xfId="1976"/>
    <cellStyle name="Normal 7 7 2" xfId="1977"/>
    <cellStyle name="Normal 7 8" xfId="1978"/>
    <cellStyle name="Normal 7 8 2" xfId="1979"/>
    <cellStyle name="Normal 7 9" xfId="1980"/>
    <cellStyle name="Normal 7 9 2" xfId="1981"/>
    <cellStyle name="Normal 7_09.4 - Répartition sectorielle" xfId="1982"/>
    <cellStyle name="Normal 8" xfId="1983"/>
    <cellStyle name="Normal 8 2" xfId="1984"/>
    <cellStyle name="Normal 8 3" xfId="1985"/>
    <cellStyle name="Normal 8 4" xfId="1986"/>
    <cellStyle name="Normal 8 5" xfId="1987"/>
    <cellStyle name="Normal 8 6" xfId="1988"/>
    <cellStyle name="Normal 8 7" xfId="1989"/>
    <cellStyle name="Normal 8 8" xfId="1990"/>
    <cellStyle name="Normal 8 9" xfId="1991"/>
    <cellStyle name="Normal 8_B11" xfId="1992"/>
    <cellStyle name="Normal 9" xfId="1993"/>
    <cellStyle name="Normal 9 10" xfId="1994"/>
    <cellStyle name="Normal 9 2" xfId="1995"/>
    <cellStyle name="Normal 9 3" xfId="1996"/>
    <cellStyle name="Normal 9 4" xfId="1997"/>
    <cellStyle name="Normal 9 5" xfId="1998"/>
    <cellStyle name="Normal 9 6" xfId="1999"/>
    <cellStyle name="Normal 9 7" xfId="2000"/>
    <cellStyle name="Normal 9 8" xfId="2001"/>
    <cellStyle name="Normal 9 9" xfId="2002"/>
    <cellStyle name="Normal 9_G2.2" xfId="2003"/>
    <cellStyle name="Normal_15_1_1 - Juste valeur" xfId="2004"/>
    <cellStyle name="Normal_Copie de Annexe 0 - Book d'analyses 2009-03" xfId="2005"/>
    <cellStyle name="Normal_Copie de Annexe 0 - Book d'analyses 2009-03_Retrieve 12.1.1" xfId="2006"/>
    <cellStyle name="Normal_Feuil3 (2)" xfId="2007"/>
    <cellStyle name="Normal_Justifs TNC niveau3 2012.12" xfId="2008"/>
    <cellStyle name="Normal_maquette SUEZ" xfId="2009"/>
    <cellStyle name="Normál_Mellékletek-2001" xfId="2010"/>
    <cellStyle name="Normal_Note 12.4.1 actif" xfId="2011"/>
    <cellStyle name="Normal_RETRIEVE" xfId="2012"/>
    <cellStyle name="Normale_Base" xfId="2013"/>
    <cellStyle name="normálne_Tabulky k baliku 5.8.2004" xfId="2014"/>
    <cellStyle name="Normalny_Nasza pf" xfId="2015"/>
    <cellStyle name="Note 10" xfId="2016"/>
    <cellStyle name="Note 10 2" xfId="2017"/>
    <cellStyle name="Note 10 3" xfId="2018"/>
    <cellStyle name="Note 10 4" xfId="2019"/>
    <cellStyle name="Note 10_05_ZZZImmobilisations_Backup 2009-12" xfId="2020"/>
    <cellStyle name="Note 11" xfId="2021"/>
    <cellStyle name="Note 12" xfId="2022"/>
    <cellStyle name="Note 13" xfId="2023"/>
    <cellStyle name="Note 14" xfId="2024"/>
    <cellStyle name="Note 15" xfId="2025"/>
    <cellStyle name="Note 16" xfId="2026"/>
    <cellStyle name="Note 17" xfId="2027"/>
    <cellStyle name="Note 18" xfId="2028"/>
    <cellStyle name="Note 19" xfId="2029"/>
    <cellStyle name="Note 2" xfId="2030"/>
    <cellStyle name="Note 2 2" xfId="2031"/>
    <cellStyle name="Note 2 3" xfId="2032"/>
    <cellStyle name="Note 2 4" xfId="2033"/>
    <cellStyle name="Note 2 5" xfId="2034"/>
    <cellStyle name="Note 2 6" xfId="2035"/>
    <cellStyle name="Note 2 7" xfId="2036"/>
    <cellStyle name="Note 2 8" xfId="2037"/>
    <cellStyle name="Note 2 9" xfId="2038"/>
    <cellStyle name="Note 2_05_ZZZImmobilisations_Backup 2009-12" xfId="2039"/>
    <cellStyle name="Note 3" xfId="2040"/>
    <cellStyle name="Note 3 2" xfId="2041"/>
    <cellStyle name="Note 3 3" xfId="2042"/>
    <cellStyle name="Note 3 4" xfId="2043"/>
    <cellStyle name="Note 3 5" xfId="2044"/>
    <cellStyle name="Note 3 6" xfId="2045"/>
    <cellStyle name="Note 3 7" xfId="2046"/>
    <cellStyle name="Note 3 8" xfId="2047"/>
    <cellStyle name="Note 3 9" xfId="2048"/>
    <cellStyle name="Note 3_05_ZZZImmobilisations_Backup 2009-12" xfId="2049"/>
    <cellStyle name="Note 4" xfId="2050"/>
    <cellStyle name="Note 4 2" xfId="2051"/>
    <cellStyle name="Note 4 3" xfId="2052"/>
    <cellStyle name="Note 4 4" xfId="2053"/>
    <cellStyle name="Note 4 5" xfId="2054"/>
    <cellStyle name="Note 4 6" xfId="2055"/>
    <cellStyle name="Note 4 7" xfId="2056"/>
    <cellStyle name="Note 4 8" xfId="2057"/>
    <cellStyle name="Note 4 9" xfId="2058"/>
    <cellStyle name="Note 4_05_ZZZImmobilisations_Backup 2009-12" xfId="2059"/>
    <cellStyle name="Note 5" xfId="2060"/>
    <cellStyle name="Note 5 2" xfId="2061"/>
    <cellStyle name="Note 5 3" xfId="2062"/>
    <cellStyle name="Note 5 4" xfId="2063"/>
    <cellStyle name="Note 5 5" xfId="2064"/>
    <cellStyle name="Note 5 6" xfId="2065"/>
    <cellStyle name="Note 5 7" xfId="2066"/>
    <cellStyle name="Note 5 8" xfId="2067"/>
    <cellStyle name="Note 5 9" xfId="2068"/>
    <cellStyle name="Note 5_05_ZZZImmobilisations_Backup 2009-12" xfId="2069"/>
    <cellStyle name="Note 6" xfId="2070"/>
    <cellStyle name="Note 6 2" xfId="2071"/>
    <cellStyle name="Note 6 3" xfId="2072"/>
    <cellStyle name="Note 6 4" xfId="2073"/>
    <cellStyle name="Note 6 5" xfId="2074"/>
    <cellStyle name="Note 6 6" xfId="2075"/>
    <cellStyle name="Note 6 7" xfId="2076"/>
    <cellStyle name="Note 6 8" xfId="2077"/>
    <cellStyle name="Note 6 9" xfId="2078"/>
    <cellStyle name="Note 6_05_ZZZImmobilisations_Backup 2009-12" xfId="2079"/>
    <cellStyle name="Note 7" xfId="2080"/>
    <cellStyle name="Note 7 2" xfId="2081"/>
    <cellStyle name="Note 7 3" xfId="2082"/>
    <cellStyle name="Note 7 4" xfId="2083"/>
    <cellStyle name="Note 7 5" xfId="2084"/>
    <cellStyle name="Note 7 6" xfId="2085"/>
    <cellStyle name="Note 7 7" xfId="2086"/>
    <cellStyle name="Note 7 8" xfId="2087"/>
    <cellStyle name="Note 7 9" xfId="2088"/>
    <cellStyle name="Note 7_05_ZZZImmobilisations_Backup 2009-12" xfId="2089"/>
    <cellStyle name="Note 8" xfId="2090"/>
    <cellStyle name="Note 9" xfId="2091"/>
    <cellStyle name="Notes" xfId="2092"/>
    <cellStyle name="Numbers" xfId="2093"/>
    <cellStyle name="-Ombrage bleu" xfId="2094"/>
    <cellStyle name="-Ombrage Jaune" xfId="2095"/>
    <cellStyle name="Output" xfId="2096"/>
    <cellStyle name="Output 10" xfId="2097"/>
    <cellStyle name="Output 11" xfId="2098"/>
    <cellStyle name="Output 2" xfId="2099"/>
    <cellStyle name="Output 2 2" xfId="2100"/>
    <cellStyle name="Output 2 3" xfId="2101"/>
    <cellStyle name="Output 2 4" xfId="2102"/>
    <cellStyle name="Output 2_05_ZZZImmobilisations_Backup 2009-12" xfId="2103"/>
    <cellStyle name="Output 3" xfId="2104"/>
    <cellStyle name="Output 4" xfId="2105"/>
    <cellStyle name="Output 5" xfId="2106"/>
    <cellStyle name="Output 6" xfId="2107"/>
    <cellStyle name="Output 7" xfId="2108"/>
    <cellStyle name="Output 8" xfId="2109"/>
    <cellStyle name="Output 9" xfId="2110"/>
    <cellStyle name="Output Amounts" xfId="2111"/>
    <cellStyle name="Output Amounts 2" xfId="2112"/>
    <cellStyle name="Output Amounts 3" xfId="2113"/>
    <cellStyle name="Output Amounts 4" xfId="2114"/>
    <cellStyle name="Output Amounts 5" xfId="2115"/>
    <cellStyle name="Output Amounts 6" xfId="2116"/>
    <cellStyle name="Output Line Items" xfId="2117"/>
    <cellStyle name="Page Heading Large" xfId="2118"/>
    <cellStyle name="Page Heading Small" xfId="2119"/>
    <cellStyle name="Percent [2]" xfId="2120"/>
    <cellStyle name="Percent 2" xfId="2121"/>
    <cellStyle name="Percent 3" xfId="2122"/>
    <cellStyle name="Percent 4" xfId="2123"/>
    <cellStyle name="Percent 5" xfId="2124"/>
    <cellStyle name="Percent Hard" xfId="2125"/>
    <cellStyle name="Porcentual_Deudas EDC 122001" xfId="2126"/>
    <cellStyle name="Pourcentage 10" xfId="2127"/>
    <cellStyle name="Pourcentage 11" xfId="2128"/>
    <cellStyle name="Pourcentage 12" xfId="2129"/>
    <cellStyle name="Pourcentage 13" xfId="2130"/>
    <cellStyle name="Pourcentage 14" xfId="2131"/>
    <cellStyle name="Pourcentage 2" xfId="2132"/>
    <cellStyle name="Pourcentage 2 10" xfId="2133"/>
    <cellStyle name="Pourcentage 2 11" xfId="2134"/>
    <cellStyle name="Pourcentage 2 12" xfId="2135"/>
    <cellStyle name="Pourcentage 2 13" xfId="2136"/>
    <cellStyle name="Pourcentage 2 14" xfId="2137"/>
    <cellStyle name="Pourcentage 2 15" xfId="2138"/>
    <cellStyle name="Pourcentage 2 16" xfId="2139"/>
    <cellStyle name="Pourcentage 2 17" xfId="2140"/>
    <cellStyle name="Pourcentage 2 2" xfId="2141"/>
    <cellStyle name="Pourcentage 2 2 2" xfId="2142"/>
    <cellStyle name="Pourcentage 2 2 3" xfId="2143"/>
    <cellStyle name="Pourcentage 2 2 4" xfId="2144"/>
    <cellStyle name="Pourcentage 2 2 5" xfId="2145"/>
    <cellStyle name="Pourcentage 2 2 6" xfId="2146"/>
    <cellStyle name="Pourcentage 2 2 7" xfId="2147"/>
    <cellStyle name="Pourcentage 2 2 8" xfId="2148"/>
    <cellStyle name="Pourcentage 2 2 9" xfId="2149"/>
    <cellStyle name="Pourcentage 2 3" xfId="2150"/>
    <cellStyle name="Pourcentage 2 4" xfId="2151"/>
    <cellStyle name="Pourcentage 2 4 2" xfId="2152"/>
    <cellStyle name="Pourcentage 2 4 3" xfId="2153"/>
    <cellStyle name="Pourcentage 2 4 4" xfId="2154"/>
    <cellStyle name="Pourcentage 2 4 5" xfId="2155"/>
    <cellStyle name="Pourcentage 2 4 6" xfId="2156"/>
    <cellStyle name="Pourcentage 2 4 7" xfId="2157"/>
    <cellStyle name="Pourcentage 2 4 8" xfId="2158"/>
    <cellStyle name="Pourcentage 2 4 9" xfId="2159"/>
    <cellStyle name="Pourcentage 2 5" xfId="2160"/>
    <cellStyle name="Pourcentage 2 5 2" xfId="2161"/>
    <cellStyle name="Pourcentage 2 5 3" xfId="2162"/>
    <cellStyle name="Pourcentage 2 5 4" xfId="2163"/>
    <cellStyle name="Pourcentage 2 5 5" xfId="2164"/>
    <cellStyle name="Pourcentage 2 5 6" xfId="2165"/>
    <cellStyle name="Pourcentage 2 5 7" xfId="2166"/>
    <cellStyle name="Pourcentage 2 5 8" xfId="2167"/>
    <cellStyle name="Pourcentage 2 5 9" xfId="2168"/>
    <cellStyle name="Pourcentage 2 6" xfId="2169"/>
    <cellStyle name="Pourcentage 2 7" xfId="2170"/>
    <cellStyle name="Pourcentage 2 8" xfId="2171"/>
    <cellStyle name="Pourcentage 2 8 2" xfId="2172"/>
    <cellStyle name="Pourcentage 2 8 3" xfId="2173"/>
    <cellStyle name="Pourcentage 2 8 4" xfId="2174"/>
    <cellStyle name="Pourcentage 2 9" xfId="2175"/>
    <cellStyle name="Pourcentage 2_AX4-AX5_081127_1600" xfId="2176"/>
    <cellStyle name="Pourcentage 3" xfId="2177"/>
    <cellStyle name="Pourcentage 3 10" xfId="2178"/>
    <cellStyle name="Pourcentage 3 11" xfId="2179"/>
    <cellStyle name="Pourcentage 3 12" xfId="2180"/>
    <cellStyle name="Pourcentage 3 13" xfId="2181"/>
    <cellStyle name="Pourcentage 3 14" xfId="2182"/>
    <cellStyle name="Pourcentage 3 2" xfId="2183"/>
    <cellStyle name="Pourcentage 3 2 2" xfId="2184"/>
    <cellStyle name="Pourcentage 3 2 3" xfId="2185"/>
    <cellStyle name="Pourcentage 3 2 4" xfId="2186"/>
    <cellStyle name="Pourcentage 3 2 5" xfId="2187"/>
    <cellStyle name="Pourcentage 3 3" xfId="2188"/>
    <cellStyle name="Pourcentage 3 4" xfId="2189"/>
    <cellStyle name="Pourcentage 3 4 2" xfId="2190"/>
    <cellStyle name="Pourcentage 3 4 3" xfId="2191"/>
    <cellStyle name="Pourcentage 3 4 4" xfId="2192"/>
    <cellStyle name="Pourcentage 3 5" xfId="2193"/>
    <cellStyle name="Pourcentage 3 6" xfId="2194"/>
    <cellStyle name="Pourcentage 3 7" xfId="2195"/>
    <cellStyle name="Pourcentage 3 8" xfId="2196"/>
    <cellStyle name="Pourcentage 3 9" xfId="2197"/>
    <cellStyle name="Pourcentage 4" xfId="2198"/>
    <cellStyle name="Pourcentage 4 10" xfId="2199"/>
    <cellStyle name="Pourcentage 4 11" xfId="2200"/>
    <cellStyle name="Pourcentage 4 12" xfId="2201"/>
    <cellStyle name="Pourcentage 4 13" xfId="2202"/>
    <cellStyle name="Pourcentage 4 14" xfId="2203"/>
    <cellStyle name="Pourcentage 4 2" xfId="2204"/>
    <cellStyle name="Pourcentage 4 3" xfId="2205"/>
    <cellStyle name="Pourcentage 4 4" xfId="2206"/>
    <cellStyle name="Pourcentage 4 4 2" xfId="2207"/>
    <cellStyle name="Pourcentage 4 4 3" xfId="2208"/>
    <cellStyle name="Pourcentage 4 4 4" xfId="2209"/>
    <cellStyle name="Pourcentage 4 5" xfId="2210"/>
    <cellStyle name="Pourcentage 4 6" xfId="2211"/>
    <cellStyle name="Pourcentage 4 7" xfId="2212"/>
    <cellStyle name="Pourcentage 4 8" xfId="2213"/>
    <cellStyle name="Pourcentage 4 9" xfId="2214"/>
    <cellStyle name="Pourcentage 5" xfId="2215"/>
    <cellStyle name="Pourcentage 5 2" xfId="2216"/>
    <cellStyle name="Pourcentage 5 3" xfId="2217"/>
    <cellStyle name="Pourcentage 5 4" xfId="2218"/>
    <cellStyle name="Pourcentage 5 5" xfId="2219"/>
    <cellStyle name="Pourcentage 5 6" xfId="2220"/>
    <cellStyle name="Pourcentage 5 7" xfId="2221"/>
    <cellStyle name="Pourcentage 5 8" xfId="2222"/>
    <cellStyle name="Pourcentage 5 9" xfId="2223"/>
    <cellStyle name="Pourcentage 6" xfId="2224"/>
    <cellStyle name="Pourcentage 6 2" xfId="2225"/>
    <cellStyle name="Pourcentage 6 3" xfId="2226"/>
    <cellStyle name="Pourcentage 6 4" xfId="2227"/>
    <cellStyle name="Pourcentage 6 5" xfId="2228"/>
    <cellStyle name="Pourcentage 6 6" xfId="2229"/>
    <cellStyle name="Pourcentage 6 7" xfId="2230"/>
    <cellStyle name="Pourcentage 6 8" xfId="2231"/>
    <cellStyle name="Pourcentage 6 9" xfId="2232"/>
    <cellStyle name="Pourcentage 7" xfId="2233"/>
    <cellStyle name="Pourcentage 7 2" xfId="2234"/>
    <cellStyle name="Pourcentage 7 3" xfId="2235"/>
    <cellStyle name="Pourcentage 7 4" xfId="2236"/>
    <cellStyle name="Pourcentage 7 5" xfId="2237"/>
    <cellStyle name="Pourcentage 8" xfId="2238"/>
    <cellStyle name="Pourcentage 8 2" xfId="2239"/>
    <cellStyle name="Pourcentage 9" xfId="2240"/>
    <cellStyle name="PSChar" xfId="2241"/>
    <cellStyle name="PSDate" xfId="2242"/>
    <cellStyle name="PSDate 2" xfId="2243"/>
    <cellStyle name="PSDate 3" xfId="2244"/>
    <cellStyle name="PSDate 4" xfId="2245"/>
    <cellStyle name="PSDate 5" xfId="2246"/>
    <cellStyle name="PSDate 6" xfId="2247"/>
    <cellStyle name="PSDec" xfId="2248"/>
    <cellStyle name="PSHeading" xfId="2249"/>
    <cellStyle name="PSInt" xfId="2250"/>
    <cellStyle name="PSSpacer" xfId="2251"/>
    <cellStyle name="Qantités" xfId="2252"/>
    <cellStyle name="Quantités" xfId="2253"/>
    <cellStyle name="Quantités 10" xfId="2254"/>
    <cellStyle name="Quantités 10 2" xfId="2255"/>
    <cellStyle name="Quantités 10 3" xfId="2256"/>
    <cellStyle name="Quantités 10 4" xfId="2257"/>
    <cellStyle name="Quantités 10 5" xfId="2258"/>
    <cellStyle name="Quantités 10 6" xfId="2259"/>
    <cellStyle name="Quantités 11" xfId="2260"/>
    <cellStyle name="Quantités 11 2" xfId="2261"/>
    <cellStyle name="Quantités 11 3" xfId="2262"/>
    <cellStyle name="Quantités 11 4" xfId="2263"/>
    <cellStyle name="Quantités 11 5" xfId="2264"/>
    <cellStyle name="Quantités 11 6" xfId="2265"/>
    <cellStyle name="Quantités 12" xfId="2266"/>
    <cellStyle name="Quantités 12 2" xfId="2267"/>
    <cellStyle name="Quantités 12 3" xfId="2268"/>
    <cellStyle name="Quantités 12 4" xfId="2269"/>
    <cellStyle name="Quantités 12 5" xfId="2270"/>
    <cellStyle name="Quantités 12 6" xfId="2271"/>
    <cellStyle name="Quantités 13" xfId="2272"/>
    <cellStyle name="Quantités 13 2" xfId="2273"/>
    <cellStyle name="Quantités 13 3" xfId="2274"/>
    <cellStyle name="Quantités 13 4" xfId="2275"/>
    <cellStyle name="Quantités 13 5" xfId="2276"/>
    <cellStyle name="Quantités 13 6" xfId="2277"/>
    <cellStyle name="Quantités 14" xfId="2278"/>
    <cellStyle name="Quantités 15" xfId="2279"/>
    <cellStyle name="Quantités 16" xfId="2280"/>
    <cellStyle name="Quantités 17" xfId="2281"/>
    <cellStyle name="Quantités 18" xfId="2282"/>
    <cellStyle name="Quantités 2" xfId="2283"/>
    <cellStyle name="Quantités 2 2" xfId="2284"/>
    <cellStyle name="Quantités 2 3" xfId="2285"/>
    <cellStyle name="Quantités 2 4" xfId="2286"/>
    <cellStyle name="Quantités 2 5" xfId="2287"/>
    <cellStyle name="Quantités 2 6" xfId="2288"/>
    <cellStyle name="Quantités 3" xfId="2289"/>
    <cellStyle name="Quantités 3 2" xfId="2290"/>
    <cellStyle name="Quantités 3 3" xfId="2291"/>
    <cellStyle name="Quantités 3 4" xfId="2292"/>
    <cellStyle name="Quantités 3 5" xfId="2293"/>
    <cellStyle name="Quantités 3 6" xfId="2294"/>
    <cellStyle name="Quantités 4" xfId="2295"/>
    <cellStyle name="Quantités 4 2" xfId="2296"/>
    <cellStyle name="Quantités 4 2 2" xfId="2297"/>
    <cellStyle name="Quantités 4 2 3" xfId="2298"/>
    <cellStyle name="Quantités 4 2 4" xfId="2299"/>
    <cellStyle name="Quantités 4 2 5" xfId="2300"/>
    <cellStyle name="Quantités 4 2 6" xfId="2301"/>
    <cellStyle name="Quantités 4 3" xfId="2302"/>
    <cellStyle name="Quantités 4 3 2" xfId="2303"/>
    <cellStyle name="Quantités 4 3 3" xfId="2304"/>
    <cellStyle name="Quantités 4 3 4" xfId="2305"/>
    <cellStyle name="Quantités 4 3 5" xfId="2306"/>
    <cellStyle name="Quantités 4 3 6" xfId="2307"/>
    <cellStyle name="Quantités 4 4" xfId="2308"/>
    <cellStyle name="Quantités 4 4 2" xfId="2309"/>
    <cellStyle name="Quantités 4 4 3" xfId="2310"/>
    <cellStyle name="Quantités 4 4 4" xfId="2311"/>
    <cellStyle name="Quantités 4 4 5" xfId="2312"/>
    <cellStyle name="Quantités 4 4 6" xfId="2313"/>
    <cellStyle name="Quantités 4 5" xfId="2314"/>
    <cellStyle name="Quantités 4 6" xfId="2315"/>
    <cellStyle name="Quantités 4 7" xfId="2316"/>
    <cellStyle name="Quantités 4 8" xfId="2317"/>
    <cellStyle name="Quantités 4 9" xfId="2318"/>
    <cellStyle name="Quantités 5" xfId="2319"/>
    <cellStyle name="Quantités 5 2" xfId="2320"/>
    <cellStyle name="Quantités 5 3" xfId="2321"/>
    <cellStyle name="Quantités 5 4" xfId="2322"/>
    <cellStyle name="Quantités 5 5" xfId="2323"/>
    <cellStyle name="Quantités 5 6" xfId="2324"/>
    <cellStyle name="Quantités 6" xfId="2325"/>
    <cellStyle name="Quantités 6 2" xfId="2326"/>
    <cellStyle name="Quantités 6 3" xfId="2327"/>
    <cellStyle name="Quantités 6 4" xfId="2328"/>
    <cellStyle name="Quantités 6 5" xfId="2329"/>
    <cellStyle name="Quantités 6 6" xfId="2330"/>
    <cellStyle name="Quantités 7" xfId="2331"/>
    <cellStyle name="Quantités 7 2" xfId="2332"/>
    <cellStyle name="Quantités 7 3" xfId="2333"/>
    <cellStyle name="Quantités 7 4" xfId="2334"/>
    <cellStyle name="Quantités 7 5" xfId="2335"/>
    <cellStyle name="Quantités 7 6" xfId="2336"/>
    <cellStyle name="Quantités 8" xfId="2337"/>
    <cellStyle name="Quantités 8 2" xfId="2338"/>
    <cellStyle name="Quantités 8 3" xfId="2339"/>
    <cellStyle name="Quantités 8 4" xfId="2340"/>
    <cellStyle name="Quantités 8 5" xfId="2341"/>
    <cellStyle name="Quantités 8 6" xfId="2342"/>
    <cellStyle name="Quantités 9" xfId="2343"/>
    <cellStyle name="Quantités 9 2" xfId="2344"/>
    <cellStyle name="Quantités 9 3" xfId="2345"/>
    <cellStyle name="Quantités 9 4" xfId="2346"/>
    <cellStyle name="Quantités 9 5" xfId="2347"/>
    <cellStyle name="Quantités 9 6" xfId="2348"/>
    <cellStyle name="remy" xfId="2349"/>
    <cellStyle name="rnr" xfId="2350"/>
    <cellStyle name="RowHead" xfId="2351"/>
    <cellStyle name="Russian Normal" xfId="2352"/>
    <cellStyle name="SAPBEXaggData" xfId="2353"/>
    <cellStyle name="SAPBEXaggDataEmph" xfId="2354"/>
    <cellStyle name="SAPBEXaggItem" xfId="2355"/>
    <cellStyle name="SAPBEXaggItemX" xfId="2356"/>
    <cellStyle name="SAPBEXchaText" xfId="2357"/>
    <cellStyle name="SAPBEXexcBad7" xfId="2358"/>
    <cellStyle name="SAPBEXexcBad8" xfId="2359"/>
    <cellStyle name="SAPBEXexcBad9" xfId="2360"/>
    <cellStyle name="SAPBEXexcCritical4" xfId="2361"/>
    <cellStyle name="SAPBEXexcCritical5" xfId="2362"/>
    <cellStyle name="SAPBEXexcCritical6" xfId="2363"/>
    <cellStyle name="SAPBEXexcGood1" xfId="2364"/>
    <cellStyle name="SAPBEXexcGood2" xfId="2365"/>
    <cellStyle name="SAPBEXexcGood3" xfId="2366"/>
    <cellStyle name="SAPBEXfilterDrill" xfId="2367"/>
    <cellStyle name="SAPBEXfilterItem" xfId="2368"/>
    <cellStyle name="SAPBEXfilterText" xfId="2369"/>
    <cellStyle name="SAPBEXformats" xfId="2370"/>
    <cellStyle name="SAPBEXheaderItem" xfId="2371"/>
    <cellStyle name="SAPBEXheaderText" xfId="2372"/>
    <cellStyle name="SAPBEXHLevel0" xfId="2373"/>
    <cellStyle name="SAPBEXHLevel0X" xfId="2374"/>
    <cellStyle name="SAPBEXHLevel1" xfId="2375"/>
    <cellStyle name="SAPBEXHLevel1X" xfId="2376"/>
    <cellStyle name="SAPBEXHLevel2" xfId="2377"/>
    <cellStyle name="SAPBEXHLevel2X" xfId="2378"/>
    <cellStyle name="SAPBEXHLevel3" xfId="2379"/>
    <cellStyle name="SAPBEXHLevel3X" xfId="2380"/>
    <cellStyle name="SAPBEXinputData" xfId="2381"/>
    <cellStyle name="SAPBEXresData" xfId="2382"/>
    <cellStyle name="SAPBEXresDataEmph" xfId="2383"/>
    <cellStyle name="SAPBEXresItem" xfId="2384"/>
    <cellStyle name="SAPBEXresItemX" xfId="2385"/>
    <cellStyle name="SAPBEXstdData" xfId="2386"/>
    <cellStyle name="SAPBEXstdDataEmph" xfId="2387"/>
    <cellStyle name="SAPBEXstdItem" xfId="2388"/>
    <cellStyle name="SAPBEXstdItemX" xfId="2389"/>
    <cellStyle name="SAPBEXtitle" xfId="2390"/>
    <cellStyle name="SAPBEXundefined" xfId="2391"/>
    <cellStyle name="Satisfaisant 2" xfId="2392"/>
    <cellStyle name="Satisfaisant 3" xfId="2393"/>
    <cellStyle name="Satisfaisant 4" xfId="2394"/>
    <cellStyle name="Satisfaisant 5" xfId="2395"/>
    <cellStyle name="Satisfaisant 6" xfId="2396"/>
    <cellStyle name="Satisfaisant 7" xfId="2397"/>
    <cellStyle name="Satisfaisant 8" xfId="2398"/>
    <cellStyle name="Satisfaisant 9" xfId="2399"/>
    <cellStyle name="Sep. milhar [0]" xfId="2400"/>
    <cellStyle name="Sep. milhar [0] 2" xfId="2401"/>
    <cellStyle name="Sep. milhar [0] 3" xfId="2402"/>
    <cellStyle name="Sep. milhar [0] 4" xfId="2403"/>
    <cellStyle name="Sep. milhar [0] 5" xfId="2404"/>
    <cellStyle name="Sep. milhar [0] 6" xfId="2405"/>
    <cellStyle name="Separador de milhares [0]_COF" xfId="2406"/>
    <cellStyle name="Separador de milhares_COF" xfId="2407"/>
    <cellStyle name="SFL_Accounting_2" xfId="2408"/>
    <cellStyle name="Shade" xfId="2409"/>
    <cellStyle name="Shade 2" xfId="2410"/>
    <cellStyle name="Shade 2 2" xfId="2411"/>
    <cellStyle name="Shade 2 3" xfId="2412"/>
    <cellStyle name="Shade 2 4" xfId="2413"/>
    <cellStyle name="Shade 2 5" xfId="2414"/>
    <cellStyle name="Shade 2 6" xfId="2415"/>
    <cellStyle name="Shade 2 7" xfId="2416"/>
    <cellStyle name="Shade 2 8" xfId="2417"/>
    <cellStyle name="Shade 2 9" xfId="2418"/>
    <cellStyle name="Shade 2_Feuil1" xfId="2419"/>
    <cellStyle name="Shade 3" xfId="2420"/>
    <cellStyle name="Shade 3 2" xfId="2421"/>
    <cellStyle name="Shade 3 3" xfId="2422"/>
    <cellStyle name="Shade 3 4" xfId="2423"/>
    <cellStyle name="Shade 3 5" xfId="2424"/>
    <cellStyle name="Shade 3 6" xfId="2425"/>
    <cellStyle name="Shade 3 7" xfId="2426"/>
    <cellStyle name="Shade 3 8" xfId="2427"/>
    <cellStyle name="Shade 3 9" xfId="2428"/>
    <cellStyle name="Shade 3_Feuil1" xfId="2429"/>
    <cellStyle name="Shade 4" xfId="2430"/>
    <cellStyle name="Shade 4 2" xfId="2431"/>
    <cellStyle name="Shade 4 3" xfId="2432"/>
    <cellStyle name="Shade 4 4" xfId="2433"/>
    <cellStyle name="Shade 4 5" xfId="2434"/>
    <cellStyle name="Shade 4 6" xfId="2435"/>
    <cellStyle name="Shade 4 7" xfId="2436"/>
    <cellStyle name="Shade 4 8" xfId="2437"/>
    <cellStyle name="Shade 4 9" xfId="2438"/>
    <cellStyle name="Shade 4_Feuil1" xfId="2439"/>
    <cellStyle name="Shade 5" xfId="2440"/>
    <cellStyle name="Shade 5 2" xfId="2441"/>
    <cellStyle name="Shade 5 3" xfId="2442"/>
    <cellStyle name="Shade 5 4" xfId="2443"/>
    <cellStyle name="Shade 5 5" xfId="2444"/>
    <cellStyle name="Shade 5 6" xfId="2445"/>
    <cellStyle name="Shade 5 7" xfId="2446"/>
    <cellStyle name="Shade 5 8" xfId="2447"/>
    <cellStyle name="Shade 5 9" xfId="2448"/>
    <cellStyle name="Shade 5_Feuil1" xfId="2449"/>
    <cellStyle name="Shade 6" xfId="2450"/>
    <cellStyle name="Shade 6 2" xfId="2451"/>
    <cellStyle name="Shade 6 3" xfId="2452"/>
    <cellStyle name="Shade 6 4" xfId="2453"/>
    <cellStyle name="Shade 6 5" xfId="2454"/>
    <cellStyle name="Shade 6 6" xfId="2455"/>
    <cellStyle name="Shade 6 7" xfId="2456"/>
    <cellStyle name="Shade 6 8" xfId="2457"/>
    <cellStyle name="Shade 6 9" xfId="2458"/>
    <cellStyle name="Shade 6_Feuil1" xfId="2459"/>
    <cellStyle name="Shade 7" xfId="2460"/>
    <cellStyle name="Shade 7 2" xfId="2461"/>
    <cellStyle name="Shade 7 3" xfId="2462"/>
    <cellStyle name="Shade 7 4" xfId="2463"/>
    <cellStyle name="Shade 7 5" xfId="2464"/>
    <cellStyle name="Shade 7 6" xfId="2465"/>
    <cellStyle name="Shade 7 7" xfId="2466"/>
    <cellStyle name="Shade 7 8" xfId="2467"/>
    <cellStyle name="Shade 7 9" xfId="2468"/>
    <cellStyle name="Shade 7_Feuil1" xfId="2469"/>
    <cellStyle name="Shade 8" xfId="2470"/>
    <cellStyle name="Shade 9" xfId="2471"/>
    <cellStyle name="Shade_G2.2" xfId="2472"/>
    <cellStyle name="Shaded" xfId="2473"/>
    <cellStyle name="Sheet Title" xfId="2474"/>
    <cellStyle name="Slide Title" xfId="2475"/>
    <cellStyle name="Sortie 2" xfId="2476"/>
    <cellStyle name="Sortie 3" xfId="2477"/>
    <cellStyle name="Sortie 4" xfId="2478"/>
    <cellStyle name="Sortie 5" xfId="2479"/>
    <cellStyle name="Sortie 6" xfId="2480"/>
    <cellStyle name="Sortie 7" xfId="2481"/>
    <cellStyle name="Sortie 8" xfId="2482"/>
    <cellStyle name="Sortie 9" xfId="2483"/>
    <cellStyle name="Source" xfId="2484"/>
    <cellStyle name="Standaard_IIIKWR~1" xfId="2485"/>
    <cellStyle name="Standard_Grundstücke " xfId="2486"/>
    <cellStyle name="STYL1 - Style1" xfId="2487"/>
    <cellStyle name="Style 1" xfId="2488"/>
    <cellStyle name="Style 1 2" xfId="2489"/>
    <cellStyle name="Style 1 3" xfId="2490"/>
    <cellStyle name="Style 1 4" xfId="2491"/>
    <cellStyle name="Style 1 5" xfId="2492"/>
    <cellStyle name="Style 1 6" xfId="2493"/>
    <cellStyle name="Style 1 7" xfId="2494"/>
    <cellStyle name="Style 1 8" xfId="2495"/>
    <cellStyle name="Style 1_Note 12.4.1 actif" xfId="2496"/>
    <cellStyle name="Synopsis" xfId="2497"/>
    <cellStyle name="Synopsis 2" xfId="2498"/>
    <cellStyle name="Synopsis 2 2" xfId="2499"/>
    <cellStyle name="Synopsis 2 3" xfId="2500"/>
    <cellStyle name="Synopsis 2 4" xfId="2501"/>
    <cellStyle name="Synopsis 2 5" xfId="2502"/>
    <cellStyle name="Synopsis 2 6" xfId="2503"/>
    <cellStyle name="Synopsis 2 7" xfId="2504"/>
    <cellStyle name="Synopsis 2 8" xfId="2505"/>
    <cellStyle name="Synopsis 2 9" xfId="2506"/>
    <cellStyle name="Synopsis 2_Feuil1" xfId="2507"/>
    <cellStyle name="Synopsis 3" xfId="2508"/>
    <cellStyle name="Synopsis 3 2" xfId="2509"/>
    <cellStyle name="Synopsis 3 3" xfId="2510"/>
    <cellStyle name="Synopsis 3 4" xfId="2511"/>
    <cellStyle name="Synopsis 3 5" xfId="2512"/>
    <cellStyle name="Synopsis 3 6" xfId="2513"/>
    <cellStyle name="Synopsis 3 7" xfId="2514"/>
    <cellStyle name="Synopsis 3 8" xfId="2515"/>
    <cellStyle name="Synopsis 3 9" xfId="2516"/>
    <cellStyle name="Synopsis 3_Feuil1" xfId="2517"/>
    <cellStyle name="Synopsis 4" xfId="2518"/>
    <cellStyle name="Synopsis 4 2" xfId="2519"/>
    <cellStyle name="Synopsis 4 3" xfId="2520"/>
    <cellStyle name="Synopsis 4 4" xfId="2521"/>
    <cellStyle name="Synopsis 4 5" xfId="2522"/>
    <cellStyle name="Synopsis 4 6" xfId="2523"/>
    <cellStyle name="Synopsis 4 7" xfId="2524"/>
    <cellStyle name="Synopsis 4 8" xfId="2525"/>
    <cellStyle name="Synopsis 4 9" xfId="2526"/>
    <cellStyle name="Synopsis 4_Feuil1" xfId="2527"/>
    <cellStyle name="Synopsis 5" xfId="2528"/>
    <cellStyle name="Synopsis 5 2" xfId="2529"/>
    <cellStyle name="Synopsis 5 3" xfId="2530"/>
    <cellStyle name="Synopsis 5 4" xfId="2531"/>
    <cellStyle name="Synopsis 5 5" xfId="2532"/>
    <cellStyle name="Synopsis 5 6" xfId="2533"/>
    <cellStyle name="Synopsis 5 7" xfId="2534"/>
    <cellStyle name="Synopsis 5 8" xfId="2535"/>
    <cellStyle name="Synopsis 5 9" xfId="2536"/>
    <cellStyle name="Synopsis 5_Feuil1" xfId="2537"/>
    <cellStyle name="Synopsis 6" xfId="2538"/>
    <cellStyle name="Synopsis 6 2" xfId="2539"/>
    <cellStyle name="Synopsis 6 3" xfId="2540"/>
    <cellStyle name="Synopsis 6 4" xfId="2541"/>
    <cellStyle name="Synopsis 6 5" xfId="2542"/>
    <cellStyle name="Synopsis 6 6" xfId="2543"/>
    <cellStyle name="Synopsis 6 7" xfId="2544"/>
    <cellStyle name="Synopsis 6 8" xfId="2545"/>
    <cellStyle name="Synopsis 6 9" xfId="2546"/>
    <cellStyle name="Synopsis 6_Feuil1" xfId="2547"/>
    <cellStyle name="Synopsis 7" xfId="2548"/>
    <cellStyle name="Synopsis 7 2" xfId="2549"/>
    <cellStyle name="Synopsis 7 3" xfId="2550"/>
    <cellStyle name="Synopsis 7 4" xfId="2551"/>
    <cellStyle name="Synopsis 7 5" xfId="2552"/>
    <cellStyle name="Synopsis 7 6" xfId="2553"/>
    <cellStyle name="Synopsis 7 7" xfId="2554"/>
    <cellStyle name="Synopsis 7 8" xfId="2555"/>
    <cellStyle name="Synopsis 7 9" xfId="2556"/>
    <cellStyle name="Synopsis 7_Feuil1" xfId="2557"/>
    <cellStyle name="Synopsis 8" xfId="2558"/>
    <cellStyle name="Synopsis 9" xfId="2559"/>
    <cellStyle name="Synopsis_G2.2" xfId="2560"/>
    <cellStyle name="Table Col Head" xfId="2561"/>
    <cellStyle name="Table Sub Head" xfId="2562"/>
    <cellStyle name="Table Title" xfId="2563"/>
    <cellStyle name="Table Units" xfId="2564"/>
    <cellStyle name="tableau" xfId="2565"/>
    <cellStyle name="TCAM" xfId="2566"/>
    <cellStyle name="TCAM 2" xfId="2567"/>
    <cellStyle name="TCAM 2 2" xfId="2568"/>
    <cellStyle name="TCAM 2 3" xfId="2569"/>
    <cellStyle name="TCAM 2 4" xfId="2570"/>
    <cellStyle name="TCAM 2 5" xfId="2571"/>
    <cellStyle name="TCAM 2 6" xfId="2572"/>
    <cellStyle name="TCAM 2 7" xfId="2573"/>
    <cellStyle name="TCAM 2 8" xfId="2574"/>
    <cellStyle name="TCAM 2 9" xfId="2575"/>
    <cellStyle name="TCAM 3" xfId="2576"/>
    <cellStyle name="TCAM 3 2" xfId="2577"/>
    <cellStyle name="TCAM 3 3" xfId="2578"/>
    <cellStyle name="TCAM 3 4" xfId="2579"/>
    <cellStyle name="TCAM 3 5" xfId="2580"/>
    <cellStyle name="TCAM 3 6" xfId="2581"/>
    <cellStyle name="TCAM 3 7" xfId="2582"/>
    <cellStyle name="TCAM 3 8" xfId="2583"/>
    <cellStyle name="TCAM 3 9" xfId="2584"/>
    <cellStyle name="TCAM 4" xfId="2585"/>
    <cellStyle name="TCAM 4 2" xfId="2586"/>
    <cellStyle name="TCAM 4 3" xfId="2587"/>
    <cellStyle name="TCAM 4 4" xfId="2588"/>
    <cellStyle name="TCAM 4 5" xfId="2589"/>
    <cellStyle name="TCAM 4 6" xfId="2590"/>
    <cellStyle name="TCAM 4 7" xfId="2591"/>
    <cellStyle name="TCAM 4 8" xfId="2592"/>
    <cellStyle name="TCAM 4 9" xfId="2593"/>
    <cellStyle name="TCAM 5" xfId="2594"/>
    <cellStyle name="TCAM 5 2" xfId="2595"/>
    <cellStyle name="TCAM 5 3" xfId="2596"/>
    <cellStyle name="TCAM 5 4" xfId="2597"/>
    <cellStyle name="TCAM 5 5" xfId="2598"/>
    <cellStyle name="TCAM 5 6" xfId="2599"/>
    <cellStyle name="TCAM 5 7" xfId="2600"/>
    <cellStyle name="TCAM 5 8" xfId="2601"/>
    <cellStyle name="TCAM 5 9" xfId="2602"/>
    <cellStyle name="TCAM 6" xfId="2603"/>
    <cellStyle name="TCAM 6 2" xfId="2604"/>
    <cellStyle name="TCAM 6 3" xfId="2605"/>
    <cellStyle name="TCAM 6 4" xfId="2606"/>
    <cellStyle name="TCAM 6 5" xfId="2607"/>
    <cellStyle name="TCAM 6 6" xfId="2608"/>
    <cellStyle name="TCAM 6 7" xfId="2609"/>
    <cellStyle name="TCAM 6 8" xfId="2610"/>
    <cellStyle name="TCAM 6 9" xfId="2611"/>
    <cellStyle name="TCAM 7" xfId="2612"/>
    <cellStyle name="TCAM 7 2" xfId="2613"/>
    <cellStyle name="TCAM 7 3" xfId="2614"/>
    <cellStyle name="TCAM 7 4" xfId="2615"/>
    <cellStyle name="TCAM 7 5" xfId="2616"/>
    <cellStyle name="TCAM 7 6" xfId="2617"/>
    <cellStyle name="TCAM 7 7" xfId="2618"/>
    <cellStyle name="TCAM 7 8" xfId="2619"/>
    <cellStyle name="TCAM 7 9" xfId="2620"/>
    <cellStyle name="TCAM 8" xfId="2621"/>
    <cellStyle name="TCAM 9" xfId="2622"/>
    <cellStyle name="Temp1" xfId="2623"/>
    <cellStyle name="-Têtes de colonnes" xfId="2624"/>
    <cellStyle name="Texte explicatif 2" xfId="2625"/>
    <cellStyle name="Texte explicatif 3" xfId="2626"/>
    <cellStyle name="Texte explicatif 4" xfId="2627"/>
    <cellStyle name="Texte explicatif 5" xfId="2628"/>
    <cellStyle name="Texte explicatif 6" xfId="2629"/>
    <cellStyle name="Texte explicatif 7" xfId="2630"/>
    <cellStyle name="Texte explicatif 8" xfId="2631"/>
    <cellStyle name="Texte explicatif 9" xfId="2632"/>
    <cellStyle name="Times New Roman" xfId="2633"/>
    <cellStyle name="Times New Roman 2" xfId="2634"/>
    <cellStyle name="Times New Roman 3" xfId="2635"/>
    <cellStyle name="Times New Roman 4" xfId="2636"/>
    <cellStyle name="Times New Roman 5" xfId="2637"/>
    <cellStyle name="Times New Roman 6" xfId="2638"/>
    <cellStyle name="Title" xfId="2639"/>
    <cellStyle name="Title 10" xfId="2640"/>
    <cellStyle name="Title 10 2" xfId="2641"/>
    <cellStyle name="Title 10 3" xfId="2642"/>
    <cellStyle name="Title 10 4" xfId="2643"/>
    <cellStyle name="Title 11" xfId="2644"/>
    <cellStyle name="Title 12" xfId="2645"/>
    <cellStyle name="Title 13" xfId="2646"/>
    <cellStyle name="Title 14" xfId="2647"/>
    <cellStyle name="Title 15" xfId="2648"/>
    <cellStyle name="Title 16" xfId="2649"/>
    <cellStyle name="Title 17" xfId="2650"/>
    <cellStyle name="Title 18" xfId="2651"/>
    <cellStyle name="Title 19" xfId="2652"/>
    <cellStyle name="Title 2" xfId="2653"/>
    <cellStyle name="Title 2 2" xfId="2654"/>
    <cellStyle name="Title 2 3" xfId="2655"/>
    <cellStyle name="Title 2 4" xfId="2656"/>
    <cellStyle name="Title 2 5" xfId="2657"/>
    <cellStyle name="Title 2 6" xfId="2658"/>
    <cellStyle name="Title 2 7" xfId="2659"/>
    <cellStyle name="Title 2 8" xfId="2660"/>
    <cellStyle name="Title 2 9" xfId="2661"/>
    <cellStyle name="Title 2_Feuil1" xfId="2662"/>
    <cellStyle name="Title 3" xfId="2663"/>
    <cellStyle name="Title 3 2" xfId="2664"/>
    <cellStyle name="Title 3 3" xfId="2665"/>
    <cellStyle name="Title 3 4" xfId="2666"/>
    <cellStyle name="Title 3 5" xfId="2667"/>
    <cellStyle name="Title 3 6" xfId="2668"/>
    <cellStyle name="Title 3 7" xfId="2669"/>
    <cellStyle name="Title 3 8" xfId="2670"/>
    <cellStyle name="Title 3 9" xfId="2671"/>
    <cellStyle name="Title 3_Feuil1" xfId="2672"/>
    <cellStyle name="Title 4" xfId="2673"/>
    <cellStyle name="Title 4 2" xfId="2674"/>
    <cellStyle name="Title 4 3" xfId="2675"/>
    <cellStyle name="Title 4 4" xfId="2676"/>
    <cellStyle name="Title 4 5" xfId="2677"/>
    <cellStyle name="Title 4 6" xfId="2678"/>
    <cellStyle name="Title 4 7" xfId="2679"/>
    <cellStyle name="Title 4 8" xfId="2680"/>
    <cellStyle name="Title 4 9" xfId="2681"/>
    <cellStyle name="Title 4_Feuil1" xfId="2682"/>
    <cellStyle name="Title 5" xfId="2683"/>
    <cellStyle name="Title 5 2" xfId="2684"/>
    <cellStyle name="Title 5 3" xfId="2685"/>
    <cellStyle name="Title 5 4" xfId="2686"/>
    <cellStyle name="Title 5 5" xfId="2687"/>
    <cellStyle name="Title 5 6" xfId="2688"/>
    <cellStyle name="Title 5 7" xfId="2689"/>
    <cellStyle name="Title 5 8" xfId="2690"/>
    <cellStyle name="Title 5 9" xfId="2691"/>
    <cellStyle name="Title 5_Feuil1" xfId="2692"/>
    <cellStyle name="Title 6" xfId="2693"/>
    <cellStyle name="Title 6 2" xfId="2694"/>
    <cellStyle name="Title 6 3" xfId="2695"/>
    <cellStyle name="Title 6 4" xfId="2696"/>
    <cellStyle name="Title 6 5" xfId="2697"/>
    <cellStyle name="Title 6 6" xfId="2698"/>
    <cellStyle name="Title 6 7" xfId="2699"/>
    <cellStyle name="Title 6 8" xfId="2700"/>
    <cellStyle name="Title 6 9" xfId="2701"/>
    <cellStyle name="Title 6_Feuil1" xfId="2702"/>
    <cellStyle name="Title 7" xfId="2703"/>
    <cellStyle name="Title 7 2" xfId="2704"/>
    <cellStyle name="Title 7 3" xfId="2705"/>
    <cellStyle name="Title 7 4" xfId="2706"/>
    <cellStyle name="Title 7 5" xfId="2707"/>
    <cellStyle name="Title 7 6" xfId="2708"/>
    <cellStyle name="Title 7 7" xfId="2709"/>
    <cellStyle name="Title 7 8" xfId="2710"/>
    <cellStyle name="Title 7 9" xfId="2711"/>
    <cellStyle name="Title 7_Feuil1" xfId="2712"/>
    <cellStyle name="Title 8" xfId="2713"/>
    <cellStyle name="Title 9" xfId="2714"/>
    <cellStyle name="Title1" xfId="2715"/>
    <cellStyle name="Titre 1" xfId="2716"/>
    <cellStyle name="Titre 2" xfId="2717"/>
    <cellStyle name="Titre 3" xfId="2718"/>
    <cellStyle name="Titre 4" xfId="2719"/>
    <cellStyle name="Titre 5" xfId="2720"/>
    <cellStyle name="Titre 6" xfId="2721"/>
    <cellStyle name="Titre 7" xfId="2722"/>
    <cellStyle name="Titre 8" xfId="2723"/>
    <cellStyle name="Titre 9" xfId="2724"/>
    <cellStyle name="Titre 1 2" xfId="2725"/>
    <cellStyle name="Titre 1 3" xfId="2726"/>
    <cellStyle name="Titre 1 4" xfId="2727"/>
    <cellStyle name="Titre 1 5" xfId="2728"/>
    <cellStyle name="Titre 1 6" xfId="2729"/>
    <cellStyle name="Titre 1 7" xfId="2730"/>
    <cellStyle name="Titre 1 8" xfId="2731"/>
    <cellStyle name="Titre 1 9" xfId="2732"/>
    <cellStyle name="Titre 2 2" xfId="2733"/>
    <cellStyle name="Titre 2 3" xfId="2734"/>
    <cellStyle name="Titre 2 4" xfId="2735"/>
    <cellStyle name="Titre 2 5" xfId="2736"/>
    <cellStyle name="Titre 2 6" xfId="2737"/>
    <cellStyle name="Titre 2 7" xfId="2738"/>
    <cellStyle name="Titre 2 8" xfId="2739"/>
    <cellStyle name="Titre 2 9" xfId="2740"/>
    <cellStyle name="Titre 3 2" xfId="2741"/>
    <cellStyle name="Titre 3 3" xfId="2742"/>
    <cellStyle name="Titre 3 4" xfId="2743"/>
    <cellStyle name="Titre 3 5" xfId="2744"/>
    <cellStyle name="Titre 3 6" xfId="2745"/>
    <cellStyle name="Titre 3 7" xfId="2746"/>
    <cellStyle name="Titre 3 8" xfId="2747"/>
    <cellStyle name="Titre 3 9" xfId="2748"/>
    <cellStyle name="Titre 4 2" xfId="2749"/>
    <cellStyle name="Titre 4 3" xfId="2750"/>
    <cellStyle name="Titre 4 4" xfId="2751"/>
    <cellStyle name="Titre 4 5" xfId="2752"/>
    <cellStyle name="Titre 4 6" xfId="2753"/>
    <cellStyle name="Titre 4 7" xfId="2754"/>
    <cellStyle name="Titre 4 8" xfId="2755"/>
    <cellStyle name="Titre 4 9" xfId="2756"/>
    <cellStyle name="TMS" xfId="2757"/>
    <cellStyle name="Total 2" xfId="2758"/>
    <cellStyle name="Total1" xfId="2759"/>
    <cellStyle name="Total2" xfId="2760"/>
    <cellStyle name="Total3" xfId="2761"/>
    <cellStyle name="Total4" xfId="2762"/>
    <cellStyle name="Total5" xfId="2763"/>
    <cellStyle name="-Trait bleu Bas" xfId="2764"/>
    <cellStyle name="-Trait bleu Haut" xfId="2765"/>
    <cellStyle name="USD" xfId="2766"/>
    <cellStyle name="USD 2" xfId="2767"/>
    <cellStyle name="USD 2 2" xfId="2768"/>
    <cellStyle name="USD 2 3" xfId="2769"/>
    <cellStyle name="USD 2 4" xfId="2770"/>
    <cellStyle name="USD 2 5" xfId="2771"/>
    <cellStyle name="USD 2 6" xfId="2772"/>
    <cellStyle name="USD 2 7" xfId="2773"/>
    <cellStyle name="USD 2 8" xfId="2774"/>
    <cellStyle name="USD 2 9" xfId="2775"/>
    <cellStyle name="USD 3" xfId="2776"/>
    <cellStyle name="USD 3 2" xfId="2777"/>
    <cellStyle name="USD 3 3" xfId="2778"/>
    <cellStyle name="USD 3 4" xfId="2779"/>
    <cellStyle name="USD 3 5" xfId="2780"/>
    <cellStyle name="USD 3 6" xfId="2781"/>
    <cellStyle name="USD 3 7" xfId="2782"/>
    <cellStyle name="USD 3 8" xfId="2783"/>
    <cellStyle name="USD 3 9" xfId="2784"/>
    <cellStyle name="USD 4" xfId="2785"/>
    <cellStyle name="USD 4 2" xfId="2786"/>
    <cellStyle name="USD 4 3" xfId="2787"/>
    <cellStyle name="USD 4 4" xfId="2788"/>
    <cellStyle name="USD 4 5" xfId="2789"/>
    <cellStyle name="USD 4 6" xfId="2790"/>
    <cellStyle name="USD 4 7" xfId="2791"/>
    <cellStyle name="USD 4 8" xfId="2792"/>
    <cellStyle name="USD 4 9" xfId="2793"/>
    <cellStyle name="USD 5" xfId="2794"/>
    <cellStyle name="USD 5 2" xfId="2795"/>
    <cellStyle name="USD 5 3" xfId="2796"/>
    <cellStyle name="USD 5 4" xfId="2797"/>
    <cellStyle name="USD 5 5" xfId="2798"/>
    <cellStyle name="USD 5 6" xfId="2799"/>
    <cellStyle name="USD 5 7" xfId="2800"/>
    <cellStyle name="USD 5 8" xfId="2801"/>
    <cellStyle name="USD 5 9" xfId="2802"/>
    <cellStyle name="USD 6" xfId="2803"/>
    <cellStyle name="USD 6 2" xfId="2804"/>
    <cellStyle name="USD 6 3" xfId="2805"/>
    <cellStyle name="USD 6 4" xfId="2806"/>
    <cellStyle name="USD 6 5" xfId="2807"/>
    <cellStyle name="USD 6 6" xfId="2808"/>
    <cellStyle name="USD 6 7" xfId="2809"/>
    <cellStyle name="USD 6 8" xfId="2810"/>
    <cellStyle name="USD 6 9" xfId="2811"/>
    <cellStyle name="USD 7" xfId="2812"/>
    <cellStyle name="USD 7 2" xfId="2813"/>
    <cellStyle name="USD 7 3" xfId="2814"/>
    <cellStyle name="USD 7 4" xfId="2815"/>
    <cellStyle name="USD 7 5" xfId="2816"/>
    <cellStyle name="USD 7 6" xfId="2817"/>
    <cellStyle name="USD 7 7" xfId="2818"/>
    <cellStyle name="USD 7 8" xfId="2819"/>
    <cellStyle name="USD 7 9" xfId="2820"/>
    <cellStyle name="USD 8" xfId="2821"/>
    <cellStyle name="USD 9" xfId="2822"/>
    <cellStyle name="Use_1dp" xfId="2823"/>
    <cellStyle name="Valeur" xfId="2824"/>
    <cellStyle name="Valeur 2" xfId="2825"/>
    <cellStyle name="Valeur 3" xfId="2826"/>
    <cellStyle name="Valeur 4" xfId="2827"/>
    <cellStyle name="Valeur 5" xfId="2828"/>
    <cellStyle name="Valeur 6" xfId="2829"/>
    <cellStyle name="Valeurs" xfId="2830"/>
    <cellStyle name="Valeurs 2" xfId="2831"/>
    <cellStyle name="Valeurs 3" xfId="2832"/>
    <cellStyle name="Valeurs 4" xfId="2833"/>
    <cellStyle name="Valeurs 5" xfId="2834"/>
    <cellStyle name="Valeurs 6" xfId="2835"/>
    <cellStyle name="Valuta (0)" xfId="2836"/>
    <cellStyle name="Vérification 2" xfId="2837"/>
    <cellStyle name="Vérification 3" xfId="2838"/>
    <cellStyle name="Vérification 4" xfId="2839"/>
    <cellStyle name="Vérification 5" xfId="2840"/>
    <cellStyle name="Vérification 6" xfId="2841"/>
    <cellStyle name="Vérification 7" xfId="2842"/>
    <cellStyle name="Vérification 8" xfId="2843"/>
    <cellStyle name="Vérification 9" xfId="2844"/>
    <cellStyle name="Warning Text 10" xfId="2845"/>
    <cellStyle name="Warning Text 11" xfId="2846"/>
    <cellStyle name="Warning Text 2" xfId="2847"/>
    <cellStyle name="Warning Text 2 2" xfId="2848"/>
    <cellStyle name="Warning Text 2 3" xfId="2849"/>
    <cellStyle name="Warning Text 2 4" xfId="2850"/>
    <cellStyle name="Warning Text 2_BrochureGroupe2_2009.12_091210_0900" xfId="2851"/>
    <cellStyle name="Warning Text 3" xfId="2852"/>
    <cellStyle name="Warning Text 4" xfId="2853"/>
    <cellStyle name="Warning Text 5" xfId="2854"/>
    <cellStyle name="Warning Text 6" xfId="2855"/>
    <cellStyle name="Warning Text 7" xfId="2856"/>
    <cellStyle name="Warning Text 8" xfId="2857"/>
    <cellStyle name="Warning Text 9" xfId="2858"/>
    <cellStyle name="Year" xfId="2859"/>
    <cellStyle name="years" xfId="2860"/>
    <cellStyle name="똿뗦먛귟 [0.00]_PRODUCT DETAIL Q1" xfId="2861"/>
    <cellStyle name="똿뗦먛귟_PRODUCT DETAIL Q1" xfId="2862"/>
    <cellStyle name="믅됞 [0.00]_PRODUCT DETAIL Q1" xfId="2863"/>
    <cellStyle name="믅됞_PRODUCT DETAIL Q1" xfId="2864"/>
    <cellStyle name="뷭?_BOOKSHIP" xfId="2865"/>
    <cellStyle name="콤마 [0]_1202" xfId="2866"/>
    <cellStyle name="콤마_1202" xfId="2867"/>
    <cellStyle name="통화 [0]_1202" xfId="2868"/>
    <cellStyle name="통화_1202" xfId="2869"/>
    <cellStyle name="표준_(정보부문)월별인원계획" xfId="2870"/>
  </cellStyles>
  <dxfs count="19"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D5CD9A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mailto:A=@WLA05-08" TargetMode="External"/><Relationship Id="rId7" Type="http://schemas.openxmlformats.org/officeDocument/2006/relationships/hyperlink" Target="mailto:A=@WLA05-17" TargetMode="External"/><Relationship Id="rId2" Type="http://schemas.openxmlformats.org/officeDocument/2006/relationships/hyperlink" Target="mailto:A=@WLA05-05" TargetMode="External"/><Relationship Id="rId1" Type="http://schemas.openxmlformats.org/officeDocument/2006/relationships/hyperlink" Target="mailto:A=@WLA05-14" TargetMode="External"/><Relationship Id="rId6" Type="http://schemas.openxmlformats.org/officeDocument/2006/relationships/hyperlink" Target="mailto:A=@WLA05-20" TargetMode="External"/><Relationship Id="rId5" Type="http://schemas.openxmlformats.org/officeDocument/2006/relationships/hyperlink" Target="mailto:A=@WLA05-15" TargetMode="External"/><Relationship Id="rId4" Type="http://schemas.openxmlformats.org/officeDocument/2006/relationships/hyperlink" Target="mailto:A=@WLA05-18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V33"/>
  <sheetViews>
    <sheetView workbookViewId="0"/>
  </sheetViews>
  <sheetFormatPr baseColWidth="10" defaultColWidth="9.140625" defaultRowHeight="12"/>
  <cols>
    <col min="1" max="1" width="30.140625" style="39" customWidth="1"/>
    <col min="2" max="4" width="7.5703125" style="39" customWidth="1"/>
    <col min="5" max="5" width="1.140625" style="39" customWidth="1"/>
    <col min="6" max="8" width="7.5703125" style="39" customWidth="1"/>
    <col min="9" max="9" width="1.140625" style="39" customWidth="1"/>
    <col min="10" max="12" width="7.5703125" style="39" customWidth="1"/>
    <col min="13" max="13" width="1.42578125" style="39" hidden="1" customWidth="1"/>
    <col min="14" max="16" width="7.140625" style="39" hidden="1" customWidth="1"/>
    <col min="17" max="17" width="1.140625" style="39" customWidth="1"/>
    <col min="18" max="20" width="7.5703125" style="39" customWidth="1"/>
    <col min="21" max="16384" width="9.140625" style="39"/>
  </cols>
  <sheetData>
    <row r="1" spans="1:22">
      <c r="A1" s="37" t="s">
        <v>325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Q1" s="38"/>
      <c r="R1" s="38"/>
      <c r="S1" s="38"/>
      <c r="T1" s="38"/>
    </row>
    <row r="2" spans="1:22">
      <c r="A2" s="40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Q2" s="38"/>
      <c r="R2" s="38"/>
      <c r="S2" s="38"/>
      <c r="T2" s="38"/>
    </row>
    <row r="3" spans="1:22" s="63" customFormat="1" ht="12.75">
      <c r="A3" s="61"/>
      <c r="B3" s="569" t="s">
        <v>287</v>
      </c>
      <c r="C3" s="570"/>
      <c r="D3" s="570"/>
      <c r="E3" s="62"/>
      <c r="F3" s="571" t="s">
        <v>0</v>
      </c>
      <c r="G3" s="572"/>
      <c r="H3" s="572"/>
      <c r="I3" s="62"/>
      <c r="J3" s="571" t="s">
        <v>320</v>
      </c>
      <c r="K3" s="572"/>
      <c r="L3" s="572"/>
      <c r="M3" s="62"/>
      <c r="N3" s="572" t="s">
        <v>308</v>
      </c>
      <c r="O3" s="572"/>
      <c r="P3" s="572"/>
      <c r="Q3" s="62"/>
      <c r="R3"/>
      <c r="S3"/>
      <c r="T3"/>
    </row>
    <row r="4" spans="1:22" s="63" customFormat="1" ht="48">
      <c r="A4" s="64" t="s">
        <v>2</v>
      </c>
      <c r="B4" s="65" t="s">
        <v>3</v>
      </c>
      <c r="C4" s="65" t="s">
        <v>4</v>
      </c>
      <c r="D4" s="65" t="s">
        <v>5</v>
      </c>
      <c r="E4" s="66"/>
      <c r="F4" s="67" t="s">
        <v>3</v>
      </c>
      <c r="G4" s="67" t="s">
        <v>4</v>
      </c>
      <c r="H4" s="67" t="s">
        <v>5</v>
      </c>
      <c r="I4" s="66"/>
      <c r="J4" s="67" t="s">
        <v>3</v>
      </c>
      <c r="K4" s="67" t="s">
        <v>4</v>
      </c>
      <c r="L4" s="67" t="s">
        <v>5</v>
      </c>
      <c r="M4" s="67"/>
      <c r="N4" s="67" t="s">
        <v>3</v>
      </c>
      <c r="O4" s="67" t="s">
        <v>4</v>
      </c>
      <c r="P4" s="67" t="s">
        <v>5</v>
      </c>
      <c r="Q4" s="66"/>
      <c r="R4"/>
      <c r="S4"/>
      <c r="T4"/>
    </row>
    <row r="5" spans="1:22" s="63" customFormat="1" ht="12.75">
      <c r="A5" s="68"/>
      <c r="B5" s="69"/>
      <c r="C5" s="69"/>
      <c r="D5" s="69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/>
      <c r="S5"/>
      <c r="T5"/>
    </row>
    <row r="6" spans="1:22" s="63" customFormat="1" ht="12.75">
      <c r="A6" s="68" t="s">
        <v>6</v>
      </c>
      <c r="B6" s="69">
        <f>Getcarat!E23</f>
        <v>827664.03181532049</v>
      </c>
      <c r="C6" s="69">
        <v>0</v>
      </c>
      <c r="D6" s="69">
        <f>SUM(B6:C6)</f>
        <v>827664.03181532049</v>
      </c>
      <c r="E6" s="70"/>
      <c r="F6" s="70">
        <f>Getcarat!I23</f>
        <v>655795.27458125073</v>
      </c>
      <c r="G6" s="70">
        <v>0</v>
      </c>
      <c r="H6" s="70">
        <f>SUM(F6:G6)</f>
        <v>655795.27458125073</v>
      </c>
      <c r="I6" s="70"/>
      <c r="J6" s="70">
        <f>ROUND(Getcarat!M23,1)</f>
        <v>528312.19999999995</v>
      </c>
      <c r="K6" s="70">
        <v>0</v>
      </c>
      <c r="L6" s="70">
        <f>SUM(J6:K6)</f>
        <v>528312.19999999995</v>
      </c>
      <c r="M6" s="71"/>
      <c r="N6" s="71">
        <v>437.4</v>
      </c>
      <c r="O6" s="71" t="s">
        <v>286</v>
      </c>
      <c r="P6" s="71">
        <v>437.4</v>
      </c>
      <c r="Q6" s="70"/>
      <c r="R6"/>
      <c r="S6"/>
      <c r="T6"/>
      <c r="V6" s="72"/>
    </row>
    <row r="7" spans="1:22" s="63" customFormat="1" ht="24">
      <c r="A7" s="68" t="s">
        <v>7</v>
      </c>
      <c r="B7" s="69">
        <f>+Getcarat!E43</f>
        <v>44999</v>
      </c>
      <c r="C7" s="69">
        <f>+Getcarat!E61</f>
        <v>12421.58628124998</v>
      </c>
      <c r="D7" s="69">
        <f>SUM(B7:C7)</f>
        <v>57420.586281249984</v>
      </c>
      <c r="E7" s="70"/>
      <c r="F7" s="70">
        <f>+Getcarat!I43</f>
        <v>40700.11</v>
      </c>
      <c r="G7" s="70">
        <f>+Getcarat!I61</f>
        <v>10755.714271723318</v>
      </c>
      <c r="H7" s="70">
        <f>SUM(F7:G7)</f>
        <v>51455.824271723322</v>
      </c>
      <c r="I7" s="70"/>
      <c r="J7" s="73">
        <f>ROUND(Getcarat!M43,1)</f>
        <v>21527.1</v>
      </c>
      <c r="K7" s="73">
        <f>ROUND(Getcarat!M61,1)</f>
        <v>5412.7</v>
      </c>
      <c r="L7" s="70">
        <f>SUM(J7:K7)</f>
        <v>26939.8</v>
      </c>
      <c r="M7" s="71"/>
      <c r="N7" s="71" t="s">
        <v>286</v>
      </c>
      <c r="O7" s="71" t="s">
        <v>286</v>
      </c>
      <c r="P7" s="71" t="s">
        <v>286</v>
      </c>
      <c r="Q7" s="70"/>
      <c r="R7"/>
      <c r="S7"/>
      <c r="T7"/>
    </row>
    <row r="8" spans="1:22" s="63" customFormat="1" ht="12.75">
      <c r="A8" s="68" t="s">
        <v>8</v>
      </c>
      <c r="B8" s="69">
        <f>+Getcarat!E99</f>
        <v>425892.57981511508</v>
      </c>
      <c r="C8" s="69">
        <f>+Getcarat!E137</f>
        <v>145406.41140844749</v>
      </c>
      <c r="D8" s="69">
        <f>SUM(B8:C8)</f>
        <v>571298.99122356251</v>
      </c>
      <c r="E8" s="70"/>
      <c r="F8" s="70">
        <f>+Getcarat!I99</f>
        <v>471018.40971581504</v>
      </c>
      <c r="G8" s="70">
        <f>+Getcarat!I137</f>
        <v>69676.289752727156</v>
      </c>
      <c r="H8" s="70">
        <f>SUM(F8:G8)</f>
        <v>540694.69946854224</v>
      </c>
      <c r="I8" s="70"/>
      <c r="J8" s="73">
        <f>ROUND(Getcarat!M99,1)</f>
        <v>409029.8</v>
      </c>
      <c r="K8" s="73">
        <f>ROUND(Getcarat!M137,1)</f>
        <v>105288.5</v>
      </c>
      <c r="L8" s="70">
        <f>SUM(J8:K8)</f>
        <v>514318.3</v>
      </c>
      <c r="M8" s="71"/>
      <c r="N8" s="71">
        <v>579.4</v>
      </c>
      <c r="O8" s="71">
        <v>107.8</v>
      </c>
      <c r="P8" s="71">
        <v>687.2</v>
      </c>
      <c r="Q8" s="70"/>
      <c r="R8"/>
      <c r="S8"/>
      <c r="T8"/>
    </row>
    <row r="9" spans="1:22" s="63" customFormat="1" ht="24">
      <c r="A9" s="68" t="s">
        <v>9</v>
      </c>
      <c r="B9" s="69">
        <v>0</v>
      </c>
      <c r="C9" s="69">
        <f>+Getcarat!E149</f>
        <v>3083875.3717869311</v>
      </c>
      <c r="D9" s="69">
        <f>SUM(B9:C9)</f>
        <v>3083875.3717869311</v>
      </c>
      <c r="E9" s="70"/>
      <c r="F9" s="70">
        <v>0</v>
      </c>
      <c r="G9" s="70">
        <f>+Getcarat!I149</f>
        <v>3157045.4591669687</v>
      </c>
      <c r="H9" s="70">
        <f>SUM(F9:G9)</f>
        <v>3157045.4591669687</v>
      </c>
      <c r="I9" s="70"/>
      <c r="J9" s="70">
        <v>0</v>
      </c>
      <c r="K9" s="70">
        <f>ROUND(Getcarat!M149,1)</f>
        <v>2968082.6</v>
      </c>
      <c r="L9" s="70">
        <f>SUM(J9:K9)</f>
        <v>2968082.6</v>
      </c>
      <c r="M9" s="71"/>
      <c r="N9" s="71">
        <v>2966.1</v>
      </c>
      <c r="O9" s="71" t="s">
        <v>286</v>
      </c>
      <c r="P9" s="71">
        <v>2966.1</v>
      </c>
      <c r="Q9" s="70"/>
      <c r="R9"/>
      <c r="S9"/>
      <c r="T9"/>
    </row>
    <row r="10" spans="1:22" s="63" customFormat="1" ht="12.75">
      <c r="A10" s="68" t="s">
        <v>10</v>
      </c>
      <c r="B10" s="69">
        <v>0</v>
      </c>
      <c r="C10" s="69">
        <f>+Getcarat!E154+Getcarat!E27</f>
        <v>1118</v>
      </c>
      <c r="D10" s="69">
        <f>SUM(B10:C10)</f>
        <v>1118</v>
      </c>
      <c r="E10" s="70"/>
      <c r="F10" s="70">
        <v>0</v>
      </c>
      <c r="G10" s="70">
        <f>+Getcarat!I154+Getcarat!I27</f>
        <v>57425.885738639903</v>
      </c>
      <c r="H10" s="70">
        <f>SUM(F10:G10)</f>
        <v>57425.885738639903</v>
      </c>
      <c r="I10" s="70"/>
      <c r="J10" s="70">
        <v>0</v>
      </c>
      <c r="K10" s="70">
        <f>ROUND((Getcarat!M154+Getcarat!M27),1)</f>
        <v>19051.5</v>
      </c>
      <c r="L10" s="70">
        <f>SUM(J10:K10)</f>
        <v>19051.5</v>
      </c>
      <c r="M10" s="71"/>
      <c r="N10" s="71" t="s">
        <v>286</v>
      </c>
      <c r="O10" s="71">
        <v>19.100000000000001</v>
      </c>
      <c r="P10" s="71">
        <v>19.100000000000001</v>
      </c>
      <c r="Q10" s="70"/>
      <c r="R10"/>
      <c r="S10"/>
      <c r="T10"/>
    </row>
    <row r="11" spans="1:22" s="63" customFormat="1" ht="12.75">
      <c r="A11" s="74"/>
      <c r="B11" s="75"/>
      <c r="C11" s="75"/>
      <c r="D11" s="75"/>
      <c r="E11" s="76"/>
      <c r="F11" s="77"/>
      <c r="G11" s="77"/>
      <c r="H11" s="77"/>
      <c r="I11" s="76"/>
      <c r="J11" s="77"/>
      <c r="K11" s="77"/>
      <c r="L11" s="77"/>
      <c r="M11" s="77"/>
      <c r="N11" s="77"/>
      <c r="O11" s="77"/>
      <c r="P11" s="77"/>
      <c r="Q11" s="76"/>
      <c r="R11"/>
      <c r="S11"/>
      <c r="T11"/>
    </row>
    <row r="12" spans="1:22" s="63" customFormat="1" ht="12.75">
      <c r="A12" s="78" t="s">
        <v>5</v>
      </c>
      <c r="B12" s="79">
        <f>SUM(B6:B10)</f>
        <v>1298555.6116304356</v>
      </c>
      <c r="C12" s="79">
        <f>SUM(C6:C10)</f>
        <v>3242821.3694766285</v>
      </c>
      <c r="D12" s="79">
        <f>SUM(D6:D10)</f>
        <v>4541376.9811070636</v>
      </c>
      <c r="E12" s="80"/>
      <c r="F12" s="81">
        <f>SUM(F6:F10)</f>
        <v>1167513.7942970658</v>
      </c>
      <c r="G12" s="81">
        <f>SUM(G6:G10)</f>
        <v>3294903.3489300595</v>
      </c>
      <c r="H12" s="81">
        <f>SUM(H6:H10)</f>
        <v>4462417.1432271255</v>
      </c>
      <c r="I12" s="80"/>
      <c r="J12" s="81">
        <f>SUM(J6:J10)</f>
        <v>958869.09999999986</v>
      </c>
      <c r="K12" s="81">
        <f>SUM(K6:K10)</f>
        <v>3097835.3000000003</v>
      </c>
      <c r="L12" s="81">
        <f>SUM(L6:L10)</f>
        <v>4056704.4000000004</v>
      </c>
      <c r="M12" s="82"/>
      <c r="N12" s="82">
        <v>3982.9</v>
      </c>
      <c r="O12" s="82">
        <v>126.9</v>
      </c>
      <c r="P12" s="82">
        <v>4109.8</v>
      </c>
      <c r="Q12" s="80"/>
      <c r="R12"/>
      <c r="S12"/>
      <c r="T12"/>
    </row>
    <row r="13" spans="1:22" ht="12.75">
      <c r="R13"/>
      <c r="S13"/>
      <c r="T13"/>
    </row>
    <row r="14" spans="1:22" s="53" customFormat="1" ht="12.75">
      <c r="D14" s="54">
        <f>+D12-Getcarat!E156</f>
        <v>0</v>
      </c>
      <c r="H14" s="57">
        <f>+H12-Getcarat!I156</f>
        <v>0</v>
      </c>
      <c r="L14" s="54">
        <f>+L12-Getcarat!M156</f>
        <v>4.0582024492323399E-2</v>
      </c>
      <c r="R14"/>
      <c r="S14"/>
      <c r="T14"/>
    </row>
    <row r="16" spans="1:22">
      <c r="A16" s="96" t="s">
        <v>326</v>
      </c>
    </row>
    <row r="19" spans="1:21">
      <c r="A19" s="41"/>
      <c r="B19" s="564" t="s">
        <v>328</v>
      </c>
      <c r="C19" s="565"/>
      <c r="D19" s="565"/>
      <c r="E19" s="42"/>
      <c r="F19" s="567" t="s">
        <v>287</v>
      </c>
      <c r="G19" s="568"/>
      <c r="H19" s="568"/>
      <c r="I19" s="42"/>
      <c r="J19" s="567" t="s">
        <v>0</v>
      </c>
      <c r="K19" s="568"/>
      <c r="L19" s="568"/>
      <c r="M19" s="42"/>
      <c r="N19" s="566" t="s">
        <v>308</v>
      </c>
      <c r="O19" s="566"/>
      <c r="P19" s="566"/>
      <c r="Q19" s="42"/>
    </row>
    <row r="20" spans="1:21" ht="48">
      <c r="A20" s="43" t="s">
        <v>2</v>
      </c>
      <c r="B20" s="88" t="s">
        <v>3</v>
      </c>
      <c r="C20" s="44" t="s">
        <v>4</v>
      </c>
      <c r="D20" s="86" t="s">
        <v>5</v>
      </c>
      <c r="E20" s="89"/>
      <c r="F20" s="90" t="s">
        <v>3</v>
      </c>
      <c r="G20" s="45" t="s">
        <v>4</v>
      </c>
      <c r="H20" s="87" t="s">
        <v>5</v>
      </c>
      <c r="I20" s="89"/>
      <c r="J20" s="90" t="s">
        <v>3</v>
      </c>
      <c r="K20" s="45" t="s">
        <v>4</v>
      </c>
      <c r="L20" s="87" t="s">
        <v>5</v>
      </c>
      <c r="M20" s="90"/>
      <c r="N20" s="90" t="s">
        <v>3</v>
      </c>
      <c r="O20" s="90" t="s">
        <v>4</v>
      </c>
      <c r="P20" s="90" t="s">
        <v>5</v>
      </c>
      <c r="Q20" s="89"/>
    </row>
    <row r="21" spans="1:21">
      <c r="A21" s="46"/>
      <c r="B21" s="47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</row>
    <row r="22" spans="1:21">
      <c r="A22" s="46" t="s">
        <v>6</v>
      </c>
      <c r="B22" s="47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</row>
    <row r="23" spans="1:21" ht="6" customHeight="1">
      <c r="A23" s="46"/>
      <c r="B23" s="47"/>
      <c r="C23" s="47"/>
      <c r="D23" s="47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</row>
    <row r="24" spans="1:21">
      <c r="A24" s="46" t="s">
        <v>8</v>
      </c>
      <c r="B24" s="47">
        <f>+B25+B26</f>
        <v>0</v>
      </c>
      <c r="C24" s="47">
        <f>+C25+C26</f>
        <v>0</v>
      </c>
      <c r="D24" s="47">
        <f>+B24+C24</f>
        <v>0</v>
      </c>
      <c r="E24" s="48"/>
      <c r="F24" s="48">
        <f>+F25+F26</f>
        <v>0</v>
      </c>
      <c r="G24" s="48">
        <f>+G25+G26</f>
        <v>0</v>
      </c>
      <c r="H24" s="48">
        <f>+F24+G24</f>
        <v>0</v>
      </c>
      <c r="I24" s="48"/>
      <c r="J24" s="48">
        <f>+J25+J26</f>
        <v>0</v>
      </c>
      <c r="K24" s="48">
        <f>+K25+K26</f>
        <v>0</v>
      </c>
      <c r="L24" s="48">
        <f>+J24+K24</f>
        <v>0</v>
      </c>
      <c r="M24" s="48"/>
      <c r="N24" s="48"/>
      <c r="O24" s="48"/>
      <c r="P24" s="48"/>
      <c r="Q24" s="48"/>
      <c r="U24" s="38"/>
    </row>
    <row r="25" spans="1:21" s="101" customFormat="1">
      <c r="A25" s="97" t="s">
        <v>322</v>
      </c>
      <c r="B25" s="98"/>
      <c r="C25" s="98"/>
      <c r="D25" s="98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53"/>
      <c r="S25" s="53"/>
      <c r="T25" s="53"/>
      <c r="U25" s="100"/>
    </row>
    <row r="26" spans="1:21" s="101" customFormat="1">
      <c r="A26" s="97" t="s">
        <v>323</v>
      </c>
      <c r="B26" s="98"/>
      <c r="C26" s="98"/>
      <c r="D26" s="98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53"/>
      <c r="S26" s="53"/>
      <c r="T26" s="53"/>
      <c r="U26" s="100"/>
    </row>
    <row r="27" spans="1:21" s="95" customFormat="1" ht="6" customHeight="1">
      <c r="A27" s="91"/>
      <c r="B27" s="92"/>
      <c r="C27" s="92"/>
      <c r="D27" s="92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39"/>
      <c r="S27" s="39"/>
      <c r="T27" s="39"/>
      <c r="U27" s="94"/>
    </row>
    <row r="28" spans="1:21" ht="24">
      <c r="A28" s="46" t="s">
        <v>321</v>
      </c>
      <c r="B28" s="47">
        <f>+B29+B30</f>
        <v>0</v>
      </c>
      <c r="C28" s="47">
        <f>+C29+C30</f>
        <v>0</v>
      </c>
      <c r="D28" s="47">
        <f>+B28+C28</f>
        <v>0</v>
      </c>
      <c r="E28" s="48"/>
      <c r="F28" s="48">
        <f>+F29+F30</f>
        <v>0</v>
      </c>
      <c r="G28" s="48">
        <f>+G29+G30</f>
        <v>0</v>
      </c>
      <c r="H28" s="48">
        <f>+F28+G28</f>
        <v>0</v>
      </c>
      <c r="I28" s="48"/>
      <c r="J28" s="48">
        <f>+J29+J30</f>
        <v>0</v>
      </c>
      <c r="K28" s="48">
        <f>+K29+K30</f>
        <v>0</v>
      </c>
      <c r="L28" s="48">
        <f>+J28+K28</f>
        <v>0</v>
      </c>
      <c r="M28" s="48"/>
      <c r="N28" s="48"/>
      <c r="O28" s="48"/>
      <c r="P28" s="48"/>
      <c r="Q28" s="48"/>
      <c r="U28" s="38"/>
    </row>
    <row r="29" spans="1:21" s="101" customFormat="1" ht="22.5">
      <c r="A29" s="97" t="s">
        <v>324</v>
      </c>
      <c r="B29" s="98"/>
      <c r="C29" s="98"/>
      <c r="D29" s="98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53"/>
      <c r="S29" s="53"/>
      <c r="T29" s="53"/>
      <c r="U29" s="100"/>
    </row>
    <row r="30" spans="1:21" s="101" customFormat="1">
      <c r="A30" s="97" t="s">
        <v>323</v>
      </c>
      <c r="B30" s="98"/>
      <c r="C30" s="98"/>
      <c r="D30" s="98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53"/>
      <c r="S30" s="53"/>
      <c r="T30" s="53"/>
      <c r="U30" s="100"/>
    </row>
    <row r="31" spans="1:21" ht="24">
      <c r="A31" s="46" t="s">
        <v>327</v>
      </c>
      <c r="B31" s="47"/>
      <c r="C31" s="47"/>
      <c r="D31" s="47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U31" s="38"/>
    </row>
    <row r="32" spans="1:21">
      <c r="A32" s="49"/>
      <c r="B32" s="83"/>
      <c r="C32" s="83"/>
      <c r="D32" s="83"/>
      <c r="E32" s="60"/>
      <c r="F32" s="84"/>
      <c r="G32" s="84"/>
      <c r="H32" s="84"/>
      <c r="I32" s="60"/>
      <c r="J32" s="84"/>
      <c r="K32" s="84"/>
      <c r="L32" s="84"/>
      <c r="M32" s="84"/>
      <c r="N32" s="84"/>
      <c r="O32" s="84"/>
      <c r="P32" s="84"/>
      <c r="Q32" s="60"/>
      <c r="U32" s="38"/>
    </row>
    <row r="33" spans="1:21">
      <c r="A33" s="50" t="s">
        <v>5</v>
      </c>
      <c r="B33" s="51">
        <f>+B22+B24+B28+B31</f>
        <v>0</v>
      </c>
      <c r="C33" s="51">
        <f>+C22+C24+C28+C31</f>
        <v>0</v>
      </c>
      <c r="D33" s="51">
        <f>+D22+D24+D28+D31</f>
        <v>0</v>
      </c>
      <c r="E33" s="60"/>
      <c r="F33" s="52">
        <f>+F22+F24+F28+F31</f>
        <v>0</v>
      </c>
      <c r="G33" s="52">
        <f>+G22+G24+G28+G31</f>
        <v>0</v>
      </c>
      <c r="H33" s="52">
        <f>+H22+H24+H28+H31</f>
        <v>0</v>
      </c>
      <c r="I33" s="60"/>
      <c r="J33" s="52">
        <f>+J22+J24+J28+J31</f>
        <v>0</v>
      </c>
      <c r="K33" s="52">
        <f>+K22+K24+K28+K31</f>
        <v>0</v>
      </c>
      <c r="L33" s="52">
        <f>+L22+L24+L28+L31</f>
        <v>0</v>
      </c>
      <c r="M33" s="85"/>
      <c r="N33" s="85">
        <v>3982.9</v>
      </c>
      <c r="O33" s="85">
        <v>126.9</v>
      </c>
      <c r="P33" s="85">
        <v>4109.8</v>
      </c>
      <c r="Q33" s="60"/>
      <c r="U33" s="38"/>
    </row>
  </sheetData>
  <mergeCells count="8">
    <mergeCell ref="B19:D19"/>
    <mergeCell ref="N19:P19"/>
    <mergeCell ref="J19:L19"/>
    <mergeCell ref="F19:H19"/>
    <mergeCell ref="B3:D3"/>
    <mergeCell ref="F3:H3"/>
    <mergeCell ref="N3:P3"/>
    <mergeCell ref="J3:L3"/>
  </mergeCells>
  <phoneticPr fontId="0" type="noConversion"/>
  <pageMargins left="0.75" right="0.75" top="1" bottom="1" header="0.4921259845" footer="0.4921259845"/>
  <pageSetup paperSize="9" scale="89" orientation="landscape" r:id="rId1"/>
  <headerFooter alignWithMargins="0">
    <oddFooter>&amp;C&amp;D&amp;T&amp;R&amp;F&amp;A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K27"/>
  <sheetViews>
    <sheetView showGridLines="0" workbookViewId="0">
      <selection activeCell="N25" sqref="D15:N25"/>
    </sheetView>
  </sheetViews>
  <sheetFormatPr baseColWidth="10" defaultColWidth="9.140625" defaultRowHeight="12.75"/>
  <cols>
    <col min="1" max="1" width="39.42578125" style="270" customWidth="1"/>
    <col min="2" max="2" width="9.85546875" style="270" customWidth="1"/>
    <col min="3" max="3" width="10.28515625" style="270" customWidth="1"/>
    <col min="4" max="4" width="10.7109375" style="270" bestFit="1" customWidth="1"/>
    <col min="5" max="5" width="24.42578125" style="270" customWidth="1"/>
    <col min="6" max="6" width="9.140625" style="270" customWidth="1"/>
    <col min="7" max="7" width="41" style="270" customWidth="1"/>
    <col min="8" max="16384" width="9.140625" style="270"/>
  </cols>
  <sheetData>
    <row r="1" spans="1:9">
      <c r="A1" s="269" t="s">
        <v>397</v>
      </c>
    </row>
    <row r="3" spans="1:9" s="275" customFormat="1" ht="51.75" customHeight="1">
      <c r="A3" s="271"/>
      <c r="B3" s="272" t="s">
        <v>398</v>
      </c>
      <c r="C3" s="273" t="s">
        <v>378</v>
      </c>
      <c r="D3" s="274" t="s">
        <v>399</v>
      </c>
      <c r="G3" s="276"/>
      <c r="H3" s="277"/>
      <c r="I3" s="278"/>
    </row>
    <row r="4" spans="1:9">
      <c r="A4" s="279" t="s">
        <v>389</v>
      </c>
      <c r="B4" s="280">
        <v>517.70000000000005</v>
      </c>
      <c r="C4" s="281">
        <f>+C24</f>
        <v>191.10600000000002</v>
      </c>
      <c r="D4" s="282">
        <f t="shared" ref="D4:D10" si="0">+B4-C4</f>
        <v>326.59400000000005</v>
      </c>
      <c r="G4" s="276"/>
      <c r="H4" s="277"/>
      <c r="I4" s="283"/>
    </row>
    <row r="5" spans="1:9">
      <c r="A5" s="284" t="s">
        <v>387</v>
      </c>
      <c r="B5" s="285">
        <v>22</v>
      </c>
      <c r="C5" s="286">
        <f>10.6+2.3</f>
        <v>12.899999999999999</v>
      </c>
      <c r="D5" s="287">
        <f t="shared" si="0"/>
        <v>9.1000000000000014</v>
      </c>
      <c r="G5" s="288"/>
      <c r="H5" s="289"/>
      <c r="I5" s="290"/>
    </row>
    <row r="6" spans="1:9">
      <c r="A6" s="284" t="s">
        <v>391</v>
      </c>
      <c r="B6" s="285">
        <v>-12.5</v>
      </c>
      <c r="C6" s="286">
        <v>-7.9</v>
      </c>
      <c r="D6" s="287">
        <f t="shared" si="0"/>
        <v>-4.5999999999999996</v>
      </c>
      <c r="G6" s="288"/>
      <c r="H6" s="289"/>
      <c r="I6" s="290"/>
    </row>
    <row r="7" spans="1:9" ht="24">
      <c r="A7" s="284" t="s">
        <v>392</v>
      </c>
      <c r="B7" s="285">
        <v>-57.1</v>
      </c>
      <c r="C7" s="286">
        <f>-1.57-50.8-0.8-0.3</f>
        <v>-53.469999999999992</v>
      </c>
      <c r="D7" s="287">
        <f t="shared" si="0"/>
        <v>-3.6300000000000097</v>
      </c>
      <c r="G7" s="288"/>
      <c r="H7" s="289"/>
      <c r="I7" s="291"/>
    </row>
    <row r="8" spans="1:9">
      <c r="A8" s="284" t="s">
        <v>393</v>
      </c>
      <c r="B8" s="285">
        <v>-36.6</v>
      </c>
      <c r="C8" s="286"/>
      <c r="D8" s="287">
        <f t="shared" si="0"/>
        <v>-36.6</v>
      </c>
      <c r="G8" s="288"/>
      <c r="H8" s="289"/>
      <c r="I8" s="290"/>
    </row>
    <row r="9" spans="1:9">
      <c r="A9" s="284" t="s">
        <v>388</v>
      </c>
      <c r="B9" s="292">
        <v>-22.6</v>
      </c>
      <c r="C9" s="286">
        <f>4.31+0.2</f>
        <v>4.51</v>
      </c>
      <c r="D9" s="287">
        <f t="shared" si="0"/>
        <v>-27.11</v>
      </c>
      <c r="G9" s="288"/>
      <c r="H9" s="293"/>
      <c r="I9" s="291"/>
    </row>
    <row r="10" spans="1:9">
      <c r="A10" s="294" t="s">
        <v>390</v>
      </c>
      <c r="B10" s="294">
        <v>410.9</v>
      </c>
      <c r="C10" s="281">
        <f>+SUM(C4:C9)</f>
        <v>147.14600000000002</v>
      </c>
      <c r="D10" s="282">
        <f t="shared" si="0"/>
        <v>263.75399999999996</v>
      </c>
      <c r="G10" s="295"/>
      <c r="H10" s="295"/>
    </row>
    <row r="11" spans="1:9">
      <c r="G11" s="295"/>
      <c r="H11" s="295"/>
    </row>
    <row r="12" spans="1:9">
      <c r="A12" s="296"/>
      <c r="B12" s="296"/>
      <c r="C12" s="296"/>
      <c r="D12" s="296"/>
      <c r="E12" s="296"/>
    </row>
    <row r="15" spans="1:9">
      <c r="A15" s="269" t="s">
        <v>400</v>
      </c>
      <c r="B15" s="297">
        <v>2011</v>
      </c>
      <c r="C15" s="297">
        <v>2010</v>
      </c>
      <c r="D15" s="297" t="s">
        <v>401</v>
      </c>
      <c r="E15" s="295" t="s">
        <v>402</v>
      </c>
    </row>
    <row r="17" spans="1:11">
      <c r="D17" s="298"/>
    </row>
    <row r="18" spans="1:11" s="275" customFormat="1" ht="32.25" customHeight="1">
      <c r="A18" s="1" t="s">
        <v>403</v>
      </c>
      <c r="B18" s="299">
        <v>13.44</v>
      </c>
      <c r="C18" s="1">
        <v>10.66</v>
      </c>
      <c r="D18" s="300">
        <f t="shared" ref="D18:D23" si="1">+B18-C18</f>
        <v>2.7799999999999994</v>
      </c>
      <c r="E18" s="574" t="s">
        <v>404</v>
      </c>
      <c r="F18" s="574"/>
      <c r="G18" s="574"/>
      <c r="H18" s="574"/>
      <c r="I18" s="574"/>
      <c r="J18" s="574"/>
      <c r="K18" s="574"/>
    </row>
    <row r="19" spans="1:11">
      <c r="A19" s="301" t="s">
        <v>405</v>
      </c>
      <c r="B19" s="302">
        <v>57.353999999999999</v>
      </c>
      <c r="C19" s="301">
        <v>53.042000000000002</v>
      </c>
      <c r="D19" s="298">
        <f t="shared" si="1"/>
        <v>4.3119999999999976</v>
      </c>
      <c r="E19" s="270" t="s">
        <v>406</v>
      </c>
    </row>
    <row r="20" spans="1:11">
      <c r="A20" s="301" t="s">
        <v>407</v>
      </c>
      <c r="B20" s="302">
        <v>67.98</v>
      </c>
      <c r="C20" s="301">
        <v>91.391000000000005</v>
      </c>
      <c r="D20" s="298">
        <f t="shared" si="1"/>
        <v>-23.411000000000001</v>
      </c>
      <c r="E20" s="270" t="s">
        <v>408</v>
      </c>
    </row>
    <row r="21" spans="1:11" ht="26.25" customHeight="1">
      <c r="A21" s="301" t="s">
        <v>409</v>
      </c>
      <c r="B21" s="302">
        <v>2.0640000000000001</v>
      </c>
      <c r="C21" s="301">
        <v>28.100999999999999</v>
      </c>
      <c r="D21" s="298">
        <f t="shared" si="1"/>
        <v>-26.036999999999999</v>
      </c>
      <c r="E21" s="574" t="s">
        <v>410</v>
      </c>
      <c r="F21" s="574"/>
      <c r="G21" s="574"/>
      <c r="H21" s="574"/>
      <c r="I21" s="574"/>
      <c r="J21" s="574"/>
      <c r="K21" s="574"/>
    </row>
    <row r="22" spans="1:11">
      <c r="A22" s="301" t="s">
        <v>411</v>
      </c>
      <c r="B22" s="302">
        <v>6.3460000000000001</v>
      </c>
      <c r="C22" s="301">
        <v>7.9119999999999999</v>
      </c>
      <c r="D22" s="298">
        <f t="shared" si="1"/>
        <v>-1.5659999999999998</v>
      </c>
      <c r="E22" s="270" t="s">
        <v>412</v>
      </c>
    </row>
    <row r="23" spans="1:11">
      <c r="A23" s="301" t="s">
        <v>413</v>
      </c>
      <c r="B23" s="302">
        <f>+B24-SUM(B18:B22)</f>
        <v>-2.0000000000010232E-2</v>
      </c>
      <c r="C23" s="301"/>
      <c r="D23" s="298">
        <f t="shared" si="1"/>
        <v>-2.0000000000010232E-2</v>
      </c>
    </row>
    <row r="24" spans="1:11">
      <c r="B24" s="303">
        <v>147.16399999999999</v>
      </c>
      <c r="C24" s="304">
        <f>+SUM(C17:C22)</f>
        <v>191.10600000000002</v>
      </c>
      <c r="D24" s="304">
        <f>+SUM(D17:D22)</f>
        <v>-43.922000000000004</v>
      </c>
    </row>
    <row r="27" spans="1:11">
      <c r="B27" s="305"/>
    </row>
  </sheetData>
  <mergeCells count="2">
    <mergeCell ref="E18:K18"/>
    <mergeCell ref="E21:K21"/>
  </mergeCells>
  <pageMargins left="0.78740157480314965" right="0.78740157480314965" top="0.98425196850393704" bottom="0.98425196850393704" header="0.51181102362204722" footer="0.51181102362204722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E27"/>
  <sheetViews>
    <sheetView showGridLines="0" workbookViewId="0">
      <selection activeCell="N25" sqref="D15:N25"/>
    </sheetView>
  </sheetViews>
  <sheetFormatPr baseColWidth="10" defaultColWidth="9.140625" defaultRowHeight="12.75"/>
  <cols>
    <col min="1" max="1" width="39.42578125" style="307" customWidth="1"/>
    <col min="2" max="2" width="9.85546875" style="307" customWidth="1"/>
    <col min="3" max="3" width="10.28515625" style="307" customWidth="1"/>
    <col min="4" max="4" width="10.7109375" style="307" bestFit="1" customWidth="1"/>
    <col min="5" max="5" width="82.42578125" style="307" bestFit="1" customWidth="1"/>
    <col min="6" max="16384" width="9.140625" style="307"/>
  </cols>
  <sheetData>
    <row r="1" spans="1:5">
      <c r="A1" s="306" t="s">
        <v>397</v>
      </c>
    </row>
    <row r="3" spans="1:5" s="275" customFormat="1" ht="51.75" customHeight="1">
      <c r="B3" s="274" t="s">
        <v>398</v>
      </c>
      <c r="C3" s="273" t="s">
        <v>378</v>
      </c>
      <c r="D3" s="274" t="s">
        <v>399</v>
      </c>
    </row>
    <row r="4" spans="1:5">
      <c r="A4" s="308" t="s">
        <v>414</v>
      </c>
      <c r="B4" s="308">
        <v>447.8</v>
      </c>
      <c r="C4" s="309">
        <f>+C27</f>
        <v>92.88600000000001</v>
      </c>
      <c r="D4" s="310">
        <f>+B4-C4</f>
        <v>354.91399999999999</v>
      </c>
    </row>
    <row r="5" spans="1:5">
      <c r="A5" s="306"/>
      <c r="C5" s="311"/>
    </row>
    <row r="6" spans="1:5">
      <c r="A6" s="307" t="s">
        <v>387</v>
      </c>
      <c r="B6" s="307">
        <v>96.5</v>
      </c>
      <c r="C6" s="311">
        <f>27.292+0.183</f>
        <v>27.475000000000001</v>
      </c>
      <c r="D6" s="312">
        <f>+B6-C6</f>
        <v>69.025000000000006</v>
      </c>
    </row>
    <row r="7" spans="1:5">
      <c r="A7" s="307" t="s">
        <v>415</v>
      </c>
      <c r="B7" s="307">
        <v>-4.4000000000000004</v>
      </c>
      <c r="C7" s="311">
        <v>0</v>
      </c>
      <c r="D7" s="312">
        <f>+B7-C7</f>
        <v>-4.4000000000000004</v>
      </c>
    </row>
    <row r="8" spans="1:5">
      <c r="A8" s="307" t="s">
        <v>416</v>
      </c>
      <c r="B8" s="307">
        <v>6.6</v>
      </c>
      <c r="C8" s="311">
        <v>0</v>
      </c>
      <c r="D8" s="312">
        <f>+B8-C8</f>
        <v>6.6</v>
      </c>
    </row>
    <row r="9" spans="1:5">
      <c r="A9" s="307" t="s">
        <v>417</v>
      </c>
      <c r="B9" s="307">
        <v>-4.3</v>
      </c>
      <c r="C9" s="311">
        <f>+D23+0.809-1.529</f>
        <v>11.182</v>
      </c>
      <c r="D9" s="312">
        <f>+B9-C9</f>
        <v>-15.481999999999999</v>
      </c>
    </row>
    <row r="10" spans="1:5">
      <c r="A10" s="307" t="s">
        <v>418</v>
      </c>
      <c r="B10" s="307">
        <v>-24.5</v>
      </c>
      <c r="C10" s="311">
        <f>+D22+D19+D20+D21</f>
        <v>59.562000000000005</v>
      </c>
      <c r="D10" s="312">
        <f>+B10-C10</f>
        <v>-84.062000000000012</v>
      </c>
    </row>
    <row r="11" spans="1:5">
      <c r="C11" s="311"/>
    </row>
    <row r="12" spans="1:5">
      <c r="A12" s="308" t="s">
        <v>389</v>
      </c>
      <c r="B12" s="308">
        <f>+SUM(B4:B10)</f>
        <v>517.70000000000005</v>
      </c>
      <c r="C12" s="309">
        <f>+SUM(C4:C10)</f>
        <v>191.10500000000002</v>
      </c>
      <c r="D12" s="310">
        <f>+B12-C12</f>
        <v>326.59500000000003</v>
      </c>
    </row>
    <row r="14" spans="1:5">
      <c r="A14" s="313"/>
      <c r="B14" s="313"/>
      <c r="C14" s="313"/>
      <c r="D14" s="313"/>
      <c r="E14" s="313"/>
    </row>
    <row r="17" spans="1:5">
      <c r="A17" s="306" t="s">
        <v>400</v>
      </c>
      <c r="B17" s="314">
        <v>2010</v>
      </c>
      <c r="C17" s="314">
        <v>2009</v>
      </c>
      <c r="D17" s="314" t="s">
        <v>401</v>
      </c>
      <c r="E17" s="308" t="s">
        <v>402</v>
      </c>
    </row>
    <row r="19" spans="1:5">
      <c r="D19" s="315"/>
    </row>
    <row r="20" spans="1:5">
      <c r="A20" s="307" t="s">
        <v>403</v>
      </c>
      <c r="B20" s="307">
        <v>7.9130000000000003</v>
      </c>
      <c r="C20" s="307">
        <v>4.1399999999999997</v>
      </c>
      <c r="D20" s="315">
        <f t="shared" ref="D20:D25" si="0">+B20-C20</f>
        <v>3.7730000000000006</v>
      </c>
      <c r="E20" s="307" t="s">
        <v>419</v>
      </c>
    </row>
    <row r="21" spans="1:5">
      <c r="A21" s="307" t="s">
        <v>420</v>
      </c>
      <c r="B21" s="307">
        <v>2.7469999999999999</v>
      </c>
      <c r="C21" s="307">
        <v>0</v>
      </c>
      <c r="D21" s="315">
        <f t="shared" si="0"/>
        <v>2.7469999999999999</v>
      </c>
      <c r="E21" s="307" t="s">
        <v>421</v>
      </c>
    </row>
    <row r="22" spans="1:5">
      <c r="A22" s="307" t="s">
        <v>405</v>
      </c>
      <c r="B22" s="307">
        <v>53.042000000000002</v>
      </c>
      <c r="C22" s="307">
        <v>0</v>
      </c>
      <c r="D22" s="315">
        <f t="shared" si="0"/>
        <v>53.042000000000002</v>
      </c>
      <c r="E22" s="307" t="s">
        <v>422</v>
      </c>
    </row>
    <row r="23" spans="1:5">
      <c r="A23" s="307" t="s">
        <v>407</v>
      </c>
      <c r="B23" s="307">
        <v>91.391000000000005</v>
      </c>
      <c r="C23" s="307">
        <v>79.489000000000004</v>
      </c>
      <c r="D23" s="315">
        <f t="shared" si="0"/>
        <v>11.902000000000001</v>
      </c>
      <c r="E23" s="307" t="s">
        <v>423</v>
      </c>
    </row>
    <row r="24" spans="1:5">
      <c r="A24" s="307" t="s">
        <v>409</v>
      </c>
      <c r="B24" s="307">
        <v>28.100999999999999</v>
      </c>
      <c r="C24" s="307">
        <v>0</v>
      </c>
      <c r="D24" s="315">
        <f t="shared" si="0"/>
        <v>28.100999999999999</v>
      </c>
      <c r="E24" s="307" t="s">
        <v>424</v>
      </c>
    </row>
    <row r="25" spans="1:5">
      <c r="A25" s="307" t="s">
        <v>411</v>
      </c>
      <c r="B25" s="307">
        <v>7.9119999999999999</v>
      </c>
      <c r="C25" s="307">
        <v>9.2569999999999997</v>
      </c>
      <c r="D25" s="315">
        <f t="shared" si="0"/>
        <v>-1.3449999999999998</v>
      </c>
      <c r="E25" s="307" t="s">
        <v>425</v>
      </c>
    </row>
    <row r="27" spans="1:5">
      <c r="B27" s="316">
        <f>+SUM(B19:B25)</f>
        <v>191.10600000000002</v>
      </c>
      <c r="C27" s="316">
        <f>+SUM(C19:C25)</f>
        <v>92.88600000000001</v>
      </c>
      <c r="D27" s="316">
        <f>+SUM(D19:D25)</f>
        <v>98.22</v>
      </c>
    </row>
  </sheetData>
  <pageMargins left="0.78740157499999996" right="0.78740157499999996" top="0.984251969" bottom="0.984251969" header="0.4921259845" footer="0.4921259845"/>
  <pageSetup paperSize="9" scale="55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H77"/>
  <sheetViews>
    <sheetView workbookViewId="0"/>
  </sheetViews>
  <sheetFormatPr baseColWidth="10" defaultColWidth="9.140625" defaultRowHeight="12.75"/>
  <cols>
    <col min="1" max="1" width="9.140625" customWidth="1"/>
    <col min="2" max="2" width="14.5703125" customWidth="1"/>
    <col min="3" max="3" width="16.140625" customWidth="1"/>
    <col min="4" max="4" width="9.140625" customWidth="1"/>
    <col min="5" max="5" width="34.7109375" customWidth="1"/>
  </cols>
  <sheetData>
    <row r="1" spans="1:3" s="20" customFormat="1">
      <c r="A1" s="20" t="s">
        <v>296</v>
      </c>
    </row>
    <row r="4" spans="1:3" s="20" customFormat="1">
      <c r="A4" s="20">
        <v>19</v>
      </c>
      <c r="B4" s="20" t="s">
        <v>297</v>
      </c>
      <c r="C4" s="20" t="s">
        <v>298</v>
      </c>
    </row>
    <row r="5" spans="1:3">
      <c r="A5" t="s">
        <v>103</v>
      </c>
      <c r="B5" t="s">
        <v>103</v>
      </c>
    </row>
    <row r="6" spans="1:3">
      <c r="A6" t="s">
        <v>105</v>
      </c>
      <c r="B6" t="s">
        <v>105</v>
      </c>
    </row>
    <row r="7" spans="1:3">
      <c r="A7" t="s">
        <v>107</v>
      </c>
      <c r="B7" t="s">
        <v>107</v>
      </c>
    </row>
    <row r="8" spans="1:3">
      <c r="A8" t="s">
        <v>109</v>
      </c>
      <c r="B8" t="s">
        <v>109</v>
      </c>
    </row>
    <row r="9" spans="1:3">
      <c r="A9" t="s">
        <v>111</v>
      </c>
      <c r="B9" t="s">
        <v>111</v>
      </c>
    </row>
    <row r="10" spans="1:3">
      <c r="A10" t="s">
        <v>113</v>
      </c>
      <c r="B10" t="s">
        <v>113</v>
      </c>
    </row>
    <row r="11" spans="1:3">
      <c r="A11" t="s">
        <v>115</v>
      </c>
      <c r="B11" t="s">
        <v>115</v>
      </c>
    </row>
    <row r="12" spans="1:3">
      <c r="A12" t="s">
        <v>117</v>
      </c>
      <c r="B12" t="s">
        <v>117</v>
      </c>
    </row>
    <row r="13" spans="1:3">
      <c r="A13" s="11" t="s">
        <v>119</v>
      </c>
      <c r="B13" t="s">
        <v>119</v>
      </c>
    </row>
    <row r="14" spans="1:3">
      <c r="A14" t="s">
        <v>121</v>
      </c>
      <c r="B14" t="s">
        <v>121</v>
      </c>
    </row>
    <row r="15" spans="1:3">
      <c r="A15" t="s">
        <v>123</v>
      </c>
      <c r="B15" t="s">
        <v>123</v>
      </c>
    </row>
    <row r="16" spans="1:3">
      <c r="A16" t="s">
        <v>125</v>
      </c>
      <c r="B16" t="s">
        <v>125</v>
      </c>
    </row>
    <row r="17" spans="1:2">
      <c r="A17" t="s">
        <v>127</v>
      </c>
      <c r="B17" t="s">
        <v>127</v>
      </c>
    </row>
    <row r="18" spans="1:2">
      <c r="A18" t="s">
        <v>129</v>
      </c>
      <c r="B18" t="s">
        <v>129</v>
      </c>
    </row>
    <row r="19" spans="1:2">
      <c r="A19" t="s">
        <v>131</v>
      </c>
      <c r="B19" t="s">
        <v>131</v>
      </c>
    </row>
    <row r="20" spans="1:2">
      <c r="A20" t="s">
        <v>133</v>
      </c>
      <c r="B20" t="s">
        <v>133</v>
      </c>
    </row>
    <row r="21" spans="1:2">
      <c r="A21" t="s">
        <v>135</v>
      </c>
      <c r="B21" t="s">
        <v>135</v>
      </c>
    </row>
    <row r="22" spans="1:2">
      <c r="A22" t="s">
        <v>137</v>
      </c>
      <c r="B22" t="s">
        <v>137</v>
      </c>
    </row>
    <row r="23" spans="1:2">
      <c r="A23" t="s">
        <v>139</v>
      </c>
      <c r="B23" t="s">
        <v>139</v>
      </c>
    </row>
    <row r="24" spans="1:2">
      <c r="A24" t="s">
        <v>141</v>
      </c>
      <c r="B24" t="s">
        <v>141</v>
      </c>
    </row>
    <row r="25" spans="1:2">
      <c r="A25" t="s">
        <v>143</v>
      </c>
      <c r="B25" t="s">
        <v>143</v>
      </c>
    </row>
    <row r="26" spans="1:2">
      <c r="A26" t="s">
        <v>145</v>
      </c>
      <c r="B26" t="s">
        <v>145</v>
      </c>
    </row>
    <row r="27" spans="1:2">
      <c r="A27" t="s">
        <v>147</v>
      </c>
      <c r="B27" t="s">
        <v>147</v>
      </c>
    </row>
    <row r="28" spans="1:2">
      <c r="A28" t="s">
        <v>149</v>
      </c>
      <c r="B28" t="s">
        <v>149</v>
      </c>
    </row>
    <row r="29" spans="1:2">
      <c r="A29" t="s">
        <v>151</v>
      </c>
      <c r="B29" t="s">
        <v>151</v>
      </c>
    </row>
    <row r="30" spans="1:2">
      <c r="A30" t="s">
        <v>153</v>
      </c>
      <c r="B30" t="s">
        <v>153</v>
      </c>
    </row>
    <row r="31" spans="1:2">
      <c r="A31" t="s">
        <v>155</v>
      </c>
      <c r="B31" t="s">
        <v>155</v>
      </c>
    </row>
    <row r="32" spans="1:2">
      <c r="A32" t="s">
        <v>157</v>
      </c>
      <c r="B32" t="s">
        <v>157</v>
      </c>
    </row>
    <row r="33" spans="1:2">
      <c r="A33" t="s">
        <v>159</v>
      </c>
      <c r="B33" t="s">
        <v>159</v>
      </c>
    </row>
    <row r="34" spans="1:2">
      <c r="A34" t="s">
        <v>161</v>
      </c>
      <c r="B34" t="s">
        <v>161</v>
      </c>
    </row>
    <row r="35" spans="1:2">
      <c r="A35" t="s">
        <v>163</v>
      </c>
      <c r="B35" t="s">
        <v>163</v>
      </c>
    </row>
    <row r="36" spans="1:2">
      <c r="A36" t="s">
        <v>165</v>
      </c>
      <c r="B36" t="s">
        <v>165</v>
      </c>
    </row>
    <row r="37" spans="1:2">
      <c r="A37" t="s">
        <v>167</v>
      </c>
      <c r="B37" t="s">
        <v>167</v>
      </c>
    </row>
    <row r="38" spans="1:2">
      <c r="A38" t="s">
        <v>169</v>
      </c>
      <c r="B38" t="s">
        <v>169</v>
      </c>
    </row>
    <row r="39" spans="1:2">
      <c r="A39" s="12" t="s">
        <v>35</v>
      </c>
    </row>
    <row r="40" spans="1:2">
      <c r="A40" t="s">
        <v>171</v>
      </c>
      <c r="B40" t="s">
        <v>171</v>
      </c>
    </row>
    <row r="41" spans="1:2">
      <c r="A41" t="s">
        <v>173</v>
      </c>
      <c r="B41" t="s">
        <v>173</v>
      </c>
    </row>
    <row r="42" spans="1:2">
      <c r="A42" t="s">
        <v>175</v>
      </c>
      <c r="B42" t="s">
        <v>175</v>
      </c>
    </row>
    <row r="43" spans="1:2">
      <c r="A43" t="s">
        <v>177</v>
      </c>
      <c r="B43" t="s">
        <v>177</v>
      </c>
    </row>
    <row r="44" spans="1:2">
      <c r="A44" t="s">
        <v>179</v>
      </c>
      <c r="B44" t="s">
        <v>179</v>
      </c>
    </row>
    <row r="45" spans="1:2">
      <c r="A45" t="s">
        <v>181</v>
      </c>
      <c r="B45" t="s">
        <v>181</v>
      </c>
    </row>
    <row r="46" spans="1:2">
      <c r="A46" t="s">
        <v>183</v>
      </c>
      <c r="B46" t="s">
        <v>183</v>
      </c>
    </row>
    <row r="47" spans="1:2">
      <c r="A47" t="s">
        <v>185</v>
      </c>
      <c r="B47" t="s">
        <v>185</v>
      </c>
    </row>
    <row r="48" spans="1:2">
      <c r="A48" t="s">
        <v>187</v>
      </c>
      <c r="B48" t="s">
        <v>187</v>
      </c>
    </row>
    <row r="49" spans="1:8">
      <c r="A49" t="s">
        <v>189</v>
      </c>
      <c r="B49" t="s">
        <v>189</v>
      </c>
    </row>
    <row r="50" spans="1:8">
      <c r="A50" t="s">
        <v>191</v>
      </c>
      <c r="B50" t="s">
        <v>191</v>
      </c>
      <c r="C50" t="s">
        <v>290</v>
      </c>
      <c r="D50" s="20" t="s">
        <v>290</v>
      </c>
      <c r="E50" s="20" t="s">
        <v>293</v>
      </c>
      <c r="F50" s="19">
        <v>269572.707380999</v>
      </c>
      <c r="G50" s="19"/>
      <c r="H50" s="19">
        <v>269572.707380999</v>
      </c>
    </row>
    <row r="51" spans="1:8">
      <c r="A51" t="s">
        <v>193</v>
      </c>
      <c r="B51" t="s">
        <v>193</v>
      </c>
      <c r="C51" t="s">
        <v>291</v>
      </c>
      <c r="D51" s="20" t="s">
        <v>291</v>
      </c>
      <c r="E51" s="20" t="s">
        <v>294</v>
      </c>
      <c r="F51" s="19">
        <v>-33263.645016000002</v>
      </c>
      <c r="G51" s="19"/>
      <c r="H51" s="19">
        <v>-33263.645016000002</v>
      </c>
    </row>
    <row r="52" spans="1:8">
      <c r="A52" t="s">
        <v>195</v>
      </c>
      <c r="B52" t="s">
        <v>195</v>
      </c>
      <c r="C52" t="s">
        <v>292</v>
      </c>
      <c r="D52" s="20" t="s">
        <v>292</v>
      </c>
      <c r="E52" s="20" t="s">
        <v>295</v>
      </c>
      <c r="F52" s="19">
        <v>18625</v>
      </c>
      <c r="G52" s="19"/>
      <c r="H52" s="19">
        <v>18625</v>
      </c>
    </row>
    <row r="53" spans="1:8">
      <c r="A53" t="s">
        <v>197</v>
      </c>
      <c r="B53" t="s">
        <v>197</v>
      </c>
      <c r="D53" s="20"/>
      <c r="E53" s="20" t="s">
        <v>5</v>
      </c>
      <c r="F53" s="22">
        <f>SUM(F50:F52)</f>
        <v>254934.062364999</v>
      </c>
      <c r="G53" s="19">
        <f>SUM(G50:G52)</f>
        <v>0</v>
      </c>
      <c r="H53" s="19">
        <f>SUM(H50:H52)</f>
        <v>254934.062364999</v>
      </c>
    </row>
    <row r="54" spans="1:8">
      <c r="A54" t="s">
        <v>199</v>
      </c>
      <c r="B54" t="s">
        <v>199</v>
      </c>
      <c r="F54" s="23"/>
    </row>
    <row r="55" spans="1:8">
      <c r="A55" t="s">
        <v>201</v>
      </c>
      <c r="B55" t="s">
        <v>201</v>
      </c>
      <c r="D55" s="20" t="s">
        <v>35</v>
      </c>
      <c r="E55" s="20" t="s">
        <v>8</v>
      </c>
      <c r="F55" s="24">
        <v>170938.64592499999</v>
      </c>
      <c r="H55" s="22">
        <f>SUM(H53+F55)</f>
        <v>425872.70828999899</v>
      </c>
    </row>
    <row r="56" spans="1:8">
      <c r="A56" t="s">
        <v>203</v>
      </c>
      <c r="B56" t="s">
        <v>203</v>
      </c>
      <c r="D56" s="20" t="s">
        <v>42</v>
      </c>
      <c r="E56" s="20" t="s">
        <v>8</v>
      </c>
      <c r="F56" s="20">
        <v>145115.36182974363</v>
      </c>
      <c r="H56" s="20">
        <v>145115.36182974363</v>
      </c>
    </row>
    <row r="57" spans="1:8">
      <c r="A57" t="s">
        <v>205</v>
      </c>
      <c r="B57" t="s">
        <v>205</v>
      </c>
    </row>
    <row r="58" spans="1:8">
      <c r="A58" t="s">
        <v>207</v>
      </c>
      <c r="B58" t="s">
        <v>207</v>
      </c>
      <c r="E58" s="20" t="s">
        <v>299</v>
      </c>
      <c r="F58" s="19">
        <f>SUM(F53+F55+F56)</f>
        <v>570988.07011974265</v>
      </c>
      <c r="G58" s="21" t="s">
        <v>300</v>
      </c>
      <c r="H58" s="19">
        <f>SUM(H55+H56)</f>
        <v>570988.07011974265</v>
      </c>
    </row>
    <row r="59" spans="1:8">
      <c r="A59" t="s">
        <v>209</v>
      </c>
      <c r="B59" t="s">
        <v>209</v>
      </c>
    </row>
    <row r="60" spans="1:8">
      <c r="A60" t="s">
        <v>211</v>
      </c>
      <c r="B60" t="s">
        <v>211</v>
      </c>
    </row>
    <row r="61" spans="1:8">
      <c r="A61" t="s">
        <v>213</v>
      </c>
      <c r="B61" t="s">
        <v>213</v>
      </c>
    </row>
    <row r="62" spans="1:8">
      <c r="A62" t="s">
        <v>215</v>
      </c>
      <c r="B62" t="s">
        <v>215</v>
      </c>
    </row>
    <row r="63" spans="1:8">
      <c r="A63" t="s">
        <v>217</v>
      </c>
      <c r="B63" t="s">
        <v>217</v>
      </c>
    </row>
    <row r="64" spans="1:8">
      <c r="A64" t="s">
        <v>219</v>
      </c>
      <c r="B64" t="s">
        <v>219</v>
      </c>
    </row>
    <row r="65" spans="1:2">
      <c r="A65" t="s">
        <v>221</v>
      </c>
      <c r="B65" t="s">
        <v>221</v>
      </c>
    </row>
    <row r="66" spans="1:2">
      <c r="A66" t="s">
        <v>223</v>
      </c>
      <c r="B66" t="s">
        <v>223</v>
      </c>
    </row>
    <row r="67" spans="1:2">
      <c r="A67" t="s">
        <v>225</v>
      </c>
      <c r="B67" t="s">
        <v>225</v>
      </c>
    </row>
    <row r="68" spans="1:2">
      <c r="A68" t="s">
        <v>227</v>
      </c>
      <c r="B68" t="s">
        <v>227</v>
      </c>
    </row>
    <row r="69" spans="1:2">
      <c r="A69" s="11" t="s">
        <v>229</v>
      </c>
      <c r="B69" t="s">
        <v>229</v>
      </c>
    </row>
    <row r="70" spans="1:2">
      <c r="A70" s="11" t="s">
        <v>231</v>
      </c>
      <c r="B70" t="s">
        <v>231</v>
      </c>
    </row>
    <row r="71" spans="1:2">
      <c r="A71" s="11" t="s">
        <v>233</v>
      </c>
      <c r="B71" t="s">
        <v>233</v>
      </c>
    </row>
    <row r="72" spans="1:2">
      <c r="A72" s="11" t="s">
        <v>235</v>
      </c>
      <c r="B72" t="s">
        <v>235</v>
      </c>
    </row>
    <row r="73" spans="1:2">
      <c r="A73" s="11" t="s">
        <v>237</v>
      </c>
      <c r="B73" t="s">
        <v>237</v>
      </c>
    </row>
    <row r="74" spans="1:2">
      <c r="A74" s="11" t="s">
        <v>239</v>
      </c>
      <c r="B74" t="s">
        <v>239</v>
      </c>
    </row>
    <row r="75" spans="1:2">
      <c r="A75" s="11" t="s">
        <v>241</v>
      </c>
      <c r="B75" t="s">
        <v>241</v>
      </c>
    </row>
    <row r="76" spans="1:2">
      <c r="A76" s="11" t="s">
        <v>243</v>
      </c>
      <c r="B76" t="s">
        <v>243</v>
      </c>
    </row>
    <row r="77" spans="1:2">
      <c r="A77" s="12" t="s">
        <v>42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/>
  <dimension ref="A1:M19"/>
  <sheetViews>
    <sheetView workbookViewId="0"/>
  </sheetViews>
  <sheetFormatPr baseColWidth="10" defaultColWidth="9.140625" defaultRowHeight="12.75"/>
  <cols>
    <col min="1" max="1" width="11.7109375" bestFit="1" customWidth="1"/>
    <col min="2" max="2" width="0.5703125" customWidth="1"/>
    <col min="3" max="3" width="17.7109375" customWidth="1"/>
    <col min="4" max="4" width="11.7109375" bestFit="1" customWidth="1"/>
    <col min="5" max="10" width="11.5703125" bestFit="1" customWidth="1"/>
    <col min="11" max="11" width="11.7109375" bestFit="1" customWidth="1"/>
    <col min="12" max="12" width="9.140625" customWidth="1"/>
    <col min="13" max="13" width="11.7109375" bestFit="1" customWidth="1"/>
  </cols>
  <sheetData>
    <row r="1" spans="1:3">
      <c r="A1" s="18" t="s">
        <v>301</v>
      </c>
      <c r="C1" t="s">
        <v>302</v>
      </c>
    </row>
    <row r="2" spans="1:3">
      <c r="A2">
        <v>818806.79010810796</v>
      </c>
      <c r="C2">
        <v>818.8</v>
      </c>
    </row>
    <row r="4" spans="1:3">
      <c r="A4">
        <v>28986</v>
      </c>
      <c r="C4">
        <v>29</v>
      </c>
    </row>
    <row r="6" spans="1:3">
      <c r="A6">
        <v>12226.33743499999</v>
      </c>
      <c r="C6">
        <v>12.2</v>
      </c>
    </row>
    <row r="9" spans="1:3">
      <c r="A9">
        <v>3086860.4966871911</v>
      </c>
      <c r="C9">
        <v>3086.9</v>
      </c>
    </row>
    <row r="11" spans="1:3">
      <c r="A11">
        <v>1118</v>
      </c>
      <c r="C11">
        <v>1.2</v>
      </c>
    </row>
    <row r="12" spans="1:3">
      <c r="A12" s="18"/>
      <c r="B12" s="18"/>
    </row>
    <row r="13" spans="1:3">
      <c r="A13" s="18"/>
      <c r="B13" s="18"/>
    </row>
    <row r="14" spans="1:3">
      <c r="A14" s="18"/>
    </row>
    <row r="15" spans="1:3">
      <c r="A15" s="18"/>
    </row>
    <row r="17" spans="3:13">
      <c r="C17" s="25"/>
      <c r="D17" s="25"/>
      <c r="E17" s="25"/>
      <c r="F17" s="25"/>
      <c r="G17" s="25"/>
      <c r="H17" s="25"/>
      <c r="I17" s="25"/>
      <c r="J17" s="25"/>
      <c r="K17" s="25"/>
    </row>
    <row r="19" spans="3:13"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</sheetData>
  <phoneticPr fontId="0" type="noConversion"/>
  <pageMargins left="0.75" right="0.75" top="1" bottom="1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27"/>
  <sheetViews>
    <sheetView showGridLines="0" tabSelected="1" zoomScaleNormal="100" workbookViewId="0">
      <selection activeCell="B7" sqref="B7:I14"/>
    </sheetView>
  </sheetViews>
  <sheetFormatPr baseColWidth="10" defaultColWidth="9.140625" defaultRowHeight="14.25"/>
  <cols>
    <col min="1" max="1" width="51.42578125" style="151" customWidth="1"/>
    <col min="2" max="2" width="7.85546875" style="151" bestFit="1" customWidth="1"/>
    <col min="3" max="4" width="12.7109375" style="151" customWidth="1"/>
    <col min="5" max="5" width="12.5703125" style="151" customWidth="1"/>
    <col min="6" max="16384" width="9.140625" style="151"/>
  </cols>
  <sheetData>
    <row r="1" spans="1:9" ht="15">
      <c r="A1" s="195" t="s">
        <v>469</v>
      </c>
      <c r="B1" s="195"/>
      <c r="C1" s="194"/>
      <c r="D1" s="194"/>
      <c r="E1" s="194"/>
    </row>
    <row r="2" spans="1:9">
      <c r="A2" s="196"/>
      <c r="B2" s="196"/>
      <c r="C2" s="194"/>
      <c r="D2" s="194"/>
      <c r="E2" s="194"/>
    </row>
    <row r="3" spans="1:9" ht="15">
      <c r="A3" s="262" t="s">
        <v>470</v>
      </c>
    </row>
    <row r="4" spans="1:9" ht="15">
      <c r="A4" s="197"/>
      <c r="B4" s="197"/>
    </row>
    <row r="5" spans="1:9">
      <c r="A5" s="549"/>
      <c r="B5" s="559" t="s">
        <v>472</v>
      </c>
      <c r="C5" s="551"/>
      <c r="D5" s="551"/>
      <c r="E5" s="554"/>
      <c r="F5" s="550" t="s">
        <v>426</v>
      </c>
      <c r="G5" s="551"/>
      <c r="H5" s="551"/>
      <c r="I5" s="266"/>
    </row>
    <row r="6" spans="1:9" ht="17.25" customHeight="1">
      <c r="A6" s="552" t="s">
        <v>2</v>
      </c>
      <c r="B6" s="553" t="s">
        <v>5</v>
      </c>
      <c r="C6" s="553" t="s">
        <v>378</v>
      </c>
      <c r="D6" s="553" t="s">
        <v>379</v>
      </c>
      <c r="E6" s="553" t="s">
        <v>380</v>
      </c>
      <c r="F6" s="558" t="s">
        <v>5</v>
      </c>
      <c r="G6" s="558" t="s">
        <v>378</v>
      </c>
      <c r="H6" s="558" t="s">
        <v>379</v>
      </c>
      <c r="I6" s="558" t="s">
        <v>380</v>
      </c>
    </row>
    <row r="7" spans="1:9">
      <c r="A7" s="265" t="s">
        <v>6</v>
      </c>
      <c r="B7" s="538"/>
      <c r="C7" s="560"/>
      <c r="D7" s="538"/>
      <c r="E7" s="560"/>
      <c r="F7" s="539"/>
      <c r="G7" s="539"/>
      <c r="H7" s="539"/>
      <c r="I7" s="539"/>
    </row>
    <row r="8" spans="1:9" ht="32.25" customHeight="1">
      <c r="A8" s="265" t="s">
        <v>394</v>
      </c>
      <c r="B8" s="538"/>
      <c r="C8" s="538"/>
      <c r="D8" s="538"/>
      <c r="E8" s="538"/>
      <c r="F8" s="539"/>
      <c r="G8" s="539"/>
      <c r="H8" s="539"/>
      <c r="I8" s="539"/>
    </row>
    <row r="9" spans="1:9">
      <c r="A9" s="265" t="s">
        <v>382</v>
      </c>
      <c r="B9" s="538"/>
      <c r="C9" s="538"/>
      <c r="D9" s="538"/>
      <c r="E9" s="538"/>
      <c r="F9" s="539"/>
      <c r="G9" s="539"/>
      <c r="H9" s="539"/>
      <c r="I9" s="539"/>
    </row>
    <row r="10" spans="1:9">
      <c r="A10" s="265" t="s">
        <v>383</v>
      </c>
      <c r="B10" s="540"/>
      <c r="C10" s="540"/>
      <c r="D10" s="540"/>
      <c r="E10" s="540"/>
      <c r="F10" s="541"/>
      <c r="G10" s="541"/>
      <c r="H10" s="541"/>
      <c r="I10" s="541"/>
    </row>
    <row r="11" spans="1:9" ht="21" customHeight="1">
      <c r="A11" s="534" t="s">
        <v>468</v>
      </c>
      <c r="B11" s="540"/>
      <c r="C11" s="540"/>
      <c r="D11" s="540"/>
      <c r="E11" s="540"/>
      <c r="F11" s="541"/>
      <c r="G11" s="541"/>
      <c r="H11" s="541"/>
      <c r="I11" s="541"/>
    </row>
    <row r="12" spans="1:9" ht="24">
      <c r="A12" s="265" t="s">
        <v>384</v>
      </c>
      <c r="B12" s="540"/>
      <c r="C12" s="540"/>
      <c r="D12" s="540"/>
      <c r="E12" s="540"/>
      <c r="F12" s="541"/>
      <c r="G12" s="541"/>
      <c r="H12" s="541"/>
      <c r="I12" s="541"/>
    </row>
    <row r="13" spans="1:9" s="263" customFormat="1" ht="28.5" customHeight="1">
      <c r="A13" s="265" t="s">
        <v>395</v>
      </c>
      <c r="B13" s="538"/>
      <c r="C13" s="538"/>
      <c r="D13" s="538"/>
      <c r="E13" s="538"/>
      <c r="F13" s="539"/>
      <c r="G13" s="539"/>
      <c r="H13" s="539"/>
      <c r="I13" s="539"/>
    </row>
    <row r="14" spans="1:9" ht="16.5" customHeight="1" thickBot="1">
      <c r="A14" s="555" t="s">
        <v>396</v>
      </c>
      <c r="B14" s="556"/>
      <c r="C14" s="556"/>
      <c r="D14" s="556"/>
      <c r="E14" s="556"/>
      <c r="F14" s="557"/>
      <c r="G14" s="557"/>
      <c r="H14" s="557"/>
      <c r="I14" s="557"/>
    </row>
    <row r="15" spans="1:9">
      <c r="F15" s="198"/>
      <c r="G15" s="198"/>
    </row>
    <row r="17" spans="1:3">
      <c r="A17" s="264" t="s">
        <v>6</v>
      </c>
    </row>
    <row r="18" spans="1:3" ht="12.75" customHeight="1">
      <c r="A18" s="264"/>
    </row>
    <row r="19" spans="1:3">
      <c r="A19" s="552" t="s">
        <v>386</v>
      </c>
      <c r="B19" s="194"/>
      <c r="C19" s="194"/>
    </row>
    <row r="20" spans="1:3">
      <c r="A20" s="563" t="s">
        <v>474</v>
      </c>
      <c r="B20" s="562">
        <f>I7</f>
        <v>0</v>
      </c>
    </row>
    <row r="21" spans="1:3">
      <c r="A21" s="265" t="s">
        <v>387</v>
      </c>
      <c r="B21" s="522"/>
    </row>
    <row r="22" spans="1:3">
      <c r="A22" s="265" t="s">
        <v>391</v>
      </c>
      <c r="B22" s="522"/>
    </row>
    <row r="23" spans="1:3">
      <c r="A23" s="265" t="s">
        <v>392</v>
      </c>
      <c r="B23" s="522"/>
    </row>
    <row r="24" spans="1:3">
      <c r="A24" s="265" t="s">
        <v>393</v>
      </c>
      <c r="B24" s="522"/>
    </row>
    <row r="25" spans="1:3">
      <c r="A25" s="265" t="s">
        <v>388</v>
      </c>
      <c r="B25" s="522"/>
    </row>
    <row r="26" spans="1:3" ht="15" thickBot="1">
      <c r="A26" s="561" t="s">
        <v>473</v>
      </c>
      <c r="B26" s="561">
        <f>E7</f>
        <v>0</v>
      </c>
    </row>
    <row r="27" spans="1:3">
      <c r="A27" s="194"/>
      <c r="B27" s="194"/>
    </row>
  </sheetData>
  <phoneticPr fontId="0" type="noConversion"/>
  <conditionalFormatting sqref="B6:C6">
    <cfRule type="cellIs" dxfId="18" priority="7" stopIfTrue="1" operator="equal">
      <formula>0</formula>
    </cfRule>
  </conditionalFormatting>
  <conditionalFormatting sqref="A6">
    <cfRule type="cellIs" dxfId="17" priority="10" stopIfTrue="1" operator="equal">
      <formula>0</formula>
    </cfRule>
  </conditionalFormatting>
  <conditionalFormatting sqref="A6">
    <cfRule type="cellIs" dxfId="16" priority="9" stopIfTrue="1" operator="equal">
      <formula>0</formula>
    </cfRule>
  </conditionalFormatting>
  <conditionalFormatting sqref="D6">
    <cfRule type="cellIs" dxfId="15" priority="8" stopIfTrue="1" operator="equal">
      <formula>0</formula>
    </cfRule>
  </conditionalFormatting>
  <conditionalFormatting sqref="E6">
    <cfRule type="cellIs" dxfId="14" priority="6" stopIfTrue="1" operator="equal">
      <formula>0</formula>
    </cfRule>
  </conditionalFormatting>
  <conditionalFormatting sqref="F6">
    <cfRule type="cellIs" dxfId="13" priority="5" stopIfTrue="1" operator="equal">
      <formula>0</formula>
    </cfRule>
  </conditionalFormatting>
  <conditionalFormatting sqref="G6:H6">
    <cfRule type="cellIs" dxfId="12" priority="4" stopIfTrue="1" operator="equal">
      <formula>0</formula>
    </cfRule>
  </conditionalFormatting>
  <conditionalFormatting sqref="I6">
    <cfRule type="cellIs" dxfId="11" priority="3" stopIfTrue="1" operator="equal">
      <formula>0</formula>
    </cfRule>
  </conditionalFormatting>
  <conditionalFormatting sqref="A19">
    <cfRule type="cellIs" dxfId="10" priority="2" stopIfTrue="1" operator="equal">
      <formula>0</formula>
    </cfRule>
  </conditionalFormatting>
  <conditionalFormatting sqref="A19">
    <cfRule type="cellIs" dxfId="9" priority="1" stopIfTrue="1" operator="equal">
      <formula>0</formula>
    </cfRule>
  </conditionalFormatting>
  <pageMargins left="0.75" right="0.75" top="1" bottom="1" header="0.4921259845" footer="0.4921259845"/>
  <pageSetup paperSize="9" scale="65" orientation="portrait" r:id="rId1"/>
  <headerFooter alignWithMargins="0">
    <oddFooter>&amp;L&amp;F&amp;A&amp;R&amp;D
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IB13"/>
  <sheetViews>
    <sheetView showGridLines="0" zoomScaleNormal="100" workbookViewId="0">
      <selection activeCell="B8" sqref="B8:I13"/>
    </sheetView>
  </sheetViews>
  <sheetFormatPr baseColWidth="10" defaultColWidth="9.140625" defaultRowHeight="11.25"/>
  <cols>
    <col min="1" max="1" width="42.85546875" style="200" customWidth="1"/>
    <col min="2" max="2" width="11.28515625" style="200" customWidth="1"/>
    <col min="3" max="3" width="11.28515625" style="199" customWidth="1"/>
    <col min="4" max="9" width="11.28515625" style="200" customWidth="1"/>
    <col min="10" max="16384" width="9.140625" style="200"/>
  </cols>
  <sheetData>
    <row r="1" spans="1:236" ht="15">
      <c r="A1" s="195" t="s">
        <v>469</v>
      </c>
      <c r="B1" s="199"/>
      <c r="D1" s="199"/>
    </row>
    <row r="2" spans="1:236" ht="14.25">
      <c r="A2" s="196"/>
      <c r="B2" s="199"/>
      <c r="D2" s="199"/>
    </row>
    <row r="3" spans="1:236" ht="15">
      <c r="A3" s="262" t="s">
        <v>471</v>
      </c>
      <c r="B3" s="199"/>
      <c r="D3" s="199"/>
    </row>
    <row r="4" spans="1:236" ht="15">
      <c r="A4" s="262"/>
      <c r="B4" s="199"/>
      <c r="D4" s="199"/>
    </row>
    <row r="5" spans="1:236">
      <c r="A5" s="201"/>
      <c r="B5" s="199"/>
      <c r="D5" s="199"/>
    </row>
    <row r="6" spans="1:236" ht="12">
      <c r="A6" s="549"/>
      <c r="B6" s="550" t="s">
        <v>472</v>
      </c>
      <c r="C6" s="551"/>
      <c r="D6" s="551"/>
      <c r="E6" s="554"/>
      <c r="F6" s="550" t="s">
        <v>426</v>
      </c>
      <c r="G6" s="551"/>
      <c r="H6" s="551"/>
      <c r="I6" s="266"/>
    </row>
    <row r="7" spans="1:236" ht="19.5" customHeight="1" thickBot="1">
      <c r="A7" s="552" t="s">
        <v>2</v>
      </c>
      <c r="B7" s="553" t="s">
        <v>5</v>
      </c>
      <c r="C7" s="553" t="s">
        <v>378</v>
      </c>
      <c r="D7" s="553" t="s">
        <v>379</v>
      </c>
      <c r="E7" s="553" t="s">
        <v>380</v>
      </c>
      <c r="F7" s="558" t="s">
        <v>5</v>
      </c>
      <c r="G7" s="558" t="s">
        <v>378</v>
      </c>
      <c r="H7" s="558" t="s">
        <v>379</v>
      </c>
      <c r="I7" s="558" t="s">
        <v>380</v>
      </c>
    </row>
    <row r="8" spans="1:236" ht="21" customHeight="1" thickTop="1">
      <c r="A8" s="265" t="s">
        <v>381</v>
      </c>
      <c r="B8" s="542"/>
      <c r="C8" s="542"/>
      <c r="D8" s="542"/>
      <c r="E8" s="543"/>
      <c r="F8" s="544"/>
      <c r="G8" s="544"/>
      <c r="H8" s="544"/>
      <c r="I8" s="268"/>
    </row>
    <row r="9" spans="1:236" ht="18" customHeight="1">
      <c r="A9" s="265" t="s">
        <v>382</v>
      </c>
      <c r="B9" s="545"/>
      <c r="C9" s="545"/>
      <c r="D9" s="545"/>
      <c r="E9" s="545"/>
      <c r="F9" s="544"/>
      <c r="G9" s="544"/>
      <c r="H9" s="544"/>
      <c r="I9" s="268"/>
    </row>
    <row r="10" spans="1:236" ht="12.75" customHeight="1">
      <c r="A10" s="265" t="s">
        <v>383</v>
      </c>
      <c r="B10" s="546"/>
      <c r="C10" s="546"/>
      <c r="D10" s="546"/>
      <c r="E10" s="546"/>
      <c r="F10" s="547"/>
      <c r="G10" s="547"/>
      <c r="H10" s="547"/>
      <c r="I10" s="267"/>
    </row>
    <row r="11" spans="1:236" ht="24">
      <c r="A11" s="265" t="s">
        <v>385</v>
      </c>
      <c r="B11" s="546"/>
      <c r="C11" s="546"/>
      <c r="D11" s="546"/>
      <c r="E11" s="546"/>
      <c r="F11" s="547"/>
      <c r="G11" s="547"/>
      <c r="H11" s="547"/>
      <c r="I11" s="267"/>
    </row>
    <row r="12" spans="1:236" ht="24">
      <c r="A12" s="265" t="s">
        <v>384</v>
      </c>
      <c r="B12" s="546"/>
      <c r="C12" s="546"/>
      <c r="D12" s="546"/>
      <c r="E12" s="546"/>
      <c r="F12" s="547"/>
      <c r="G12" s="547"/>
      <c r="H12" s="547"/>
      <c r="I12" s="267"/>
    </row>
    <row r="13" spans="1:236" s="151" customFormat="1" ht="16.5" customHeight="1" thickBot="1">
      <c r="A13" s="555" t="s">
        <v>396</v>
      </c>
      <c r="B13" s="556"/>
      <c r="C13" s="556"/>
      <c r="D13" s="556"/>
      <c r="E13" s="556"/>
      <c r="F13" s="557"/>
      <c r="G13" s="557"/>
      <c r="H13" s="557"/>
      <c r="I13" s="557"/>
      <c r="IB13" s="151">
        <f>SUM(C13:IA13)</f>
        <v>0</v>
      </c>
    </row>
  </sheetData>
  <phoneticPr fontId="0" type="noConversion"/>
  <conditionalFormatting sqref="B7:C7">
    <cfRule type="cellIs" dxfId="8" priority="7" stopIfTrue="1" operator="equal">
      <formula>0</formula>
    </cfRule>
  </conditionalFormatting>
  <conditionalFormatting sqref="D7">
    <cfRule type="cellIs" dxfId="7" priority="8" stopIfTrue="1" operator="equal">
      <formula>0</formula>
    </cfRule>
  </conditionalFormatting>
  <conditionalFormatting sqref="E7">
    <cfRule type="cellIs" dxfId="6" priority="6" stopIfTrue="1" operator="equal">
      <formula>0</formula>
    </cfRule>
  </conditionalFormatting>
  <conditionalFormatting sqref="F7">
    <cfRule type="cellIs" dxfId="5" priority="5" stopIfTrue="1" operator="equal">
      <formula>0</formula>
    </cfRule>
  </conditionalFormatting>
  <conditionalFormatting sqref="G7:H7">
    <cfRule type="cellIs" dxfId="4" priority="4" stopIfTrue="1" operator="equal">
      <formula>0</formula>
    </cfRule>
  </conditionalFormatting>
  <conditionalFormatting sqref="I7">
    <cfRule type="cellIs" dxfId="3" priority="3" stopIfTrue="1" operator="equal">
      <formula>0</formula>
    </cfRule>
  </conditionalFormatting>
  <conditionalFormatting sqref="A7">
    <cfRule type="cellIs" dxfId="2" priority="2" stopIfTrue="1" operator="equal">
      <formula>0</formula>
    </cfRule>
  </conditionalFormatting>
  <conditionalFormatting sqref="A7">
    <cfRule type="cellIs" dxfId="1" priority="1" stopIfTrue="1" operator="equal">
      <formula>0</formula>
    </cfRule>
  </conditionalFormatting>
  <pageMargins left="0.75" right="0.75" top="1" bottom="1" header="0.5" footer="0.5"/>
  <pageSetup paperSize="9" scale="10" orientation="landscape" r:id="rId1"/>
  <headerFooter alignWithMargins="0">
    <oddFooter>&amp;L&amp;F&amp;A&amp;R&amp;D
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S268"/>
  <sheetViews>
    <sheetView zoomScaleNormal="100" workbookViewId="0">
      <pane xSplit="2" ySplit="15" topLeftCell="D40" activePane="bottomRight" state="frozen"/>
      <selection pane="topRight" activeCell="C1" sqref="C1"/>
      <selection pane="bottomLeft" activeCell="A16" sqref="A16"/>
      <selection pane="bottomRight" sqref="A1:A1048576"/>
    </sheetView>
  </sheetViews>
  <sheetFormatPr baseColWidth="10" defaultColWidth="9.140625" defaultRowHeight="12.75" outlineLevelRow="1" outlineLevelCol="1"/>
  <cols>
    <col min="1" max="1" width="26.140625" style="103" customWidth="1"/>
    <col min="2" max="2" width="60.85546875" style="103" customWidth="1"/>
    <col min="3" max="3" width="16.140625" style="110" customWidth="1"/>
    <col min="4" max="4" width="11.42578125" style="103" customWidth="1"/>
    <col min="5" max="5" width="18.28515625" style="103" customWidth="1"/>
    <col min="6" max="6" width="16.140625" style="156" customWidth="1" outlineLevel="1"/>
    <col min="7" max="7" width="16.42578125" style="157" customWidth="1" outlineLevel="1"/>
    <col min="8" max="8" width="15.5703125" style="157" hidden="1" customWidth="1" outlineLevel="1"/>
    <col min="9" max="9" width="13.28515625" style="157" hidden="1" customWidth="1" outlineLevel="1"/>
    <col min="10" max="10" width="11.42578125" style="157" hidden="1" customWidth="1" outlineLevel="1"/>
    <col min="11" max="11" width="15.5703125" style="157" hidden="1" customWidth="1" outlineLevel="1"/>
    <col min="12" max="12" width="13.28515625" style="157" hidden="1" customWidth="1" outlineLevel="1"/>
    <col min="13" max="13" width="11.42578125" style="157" hidden="1" customWidth="1" outlineLevel="1"/>
    <col min="14" max="14" width="15.5703125" style="157" hidden="1" customWidth="1" outlineLevel="1"/>
    <col min="15" max="15" width="13.28515625" style="157" hidden="1" customWidth="1" outlineLevel="1"/>
    <col min="16" max="16" width="11.42578125" style="157" hidden="1" customWidth="1" outlineLevel="1"/>
    <col min="17" max="17" width="15.5703125" style="157" hidden="1" customWidth="1" outlineLevel="1"/>
    <col min="18" max="18" width="11.42578125" style="104" hidden="1" customWidth="1" outlineLevel="1"/>
    <col min="19" max="19" width="11.42578125" style="104" hidden="1" customWidth="1"/>
    <col min="20" max="16384" width="9.140625" style="103"/>
  </cols>
  <sheetData>
    <row r="1" spans="1:19" ht="8.25" customHeight="1">
      <c r="A1" s="102"/>
    </row>
    <row r="2" spans="1:19">
      <c r="A2" s="102"/>
      <c r="C2" s="105"/>
      <c r="D2" s="105"/>
      <c r="F2" s="158"/>
      <c r="G2" s="158"/>
      <c r="I2" s="158" t="s">
        <v>329</v>
      </c>
      <c r="J2" s="158" t="s">
        <v>330</v>
      </c>
    </row>
    <row r="3" spans="1:19">
      <c r="A3" s="102"/>
      <c r="B3" s="106"/>
      <c r="C3" s="105"/>
      <c r="D3" s="107"/>
      <c r="E3" s="108"/>
      <c r="F3" s="158"/>
      <c r="G3" s="159"/>
      <c r="H3" s="160" t="s">
        <v>370</v>
      </c>
      <c r="I3" s="161">
        <v>2007</v>
      </c>
      <c r="J3" s="159">
        <v>12</v>
      </c>
      <c r="K3" s="160" t="s">
        <v>370</v>
      </c>
      <c r="L3" s="162"/>
      <c r="M3" s="162"/>
      <c r="N3" s="162"/>
      <c r="O3" s="162"/>
      <c r="P3" s="162"/>
      <c r="Q3" s="162"/>
    </row>
    <row r="4" spans="1:19" s="110" customFormat="1" outlineLevel="1">
      <c r="A4" s="102"/>
      <c r="B4" s="109"/>
      <c r="C4" s="353"/>
      <c r="D4" s="354"/>
      <c r="E4" s="354"/>
      <c r="F4" s="343"/>
      <c r="G4" s="162"/>
      <c r="H4" s="162"/>
      <c r="I4" s="163" t="s">
        <v>331</v>
      </c>
      <c r="J4" s="162"/>
      <c r="K4" s="162"/>
      <c r="L4" s="163" t="s">
        <v>331</v>
      </c>
      <c r="M4" s="162"/>
      <c r="N4" s="162"/>
      <c r="O4" s="163" t="s">
        <v>331</v>
      </c>
      <c r="P4" s="162"/>
      <c r="Q4" s="162"/>
      <c r="R4" s="104"/>
      <c r="S4" s="104"/>
    </row>
    <row r="5" spans="1:19" s="110" customFormat="1" outlineLevel="1">
      <c r="A5" s="102"/>
      <c r="B5" s="109"/>
      <c r="C5" s="153"/>
      <c r="D5" s="354"/>
      <c r="E5" s="354"/>
      <c r="F5" s="158"/>
      <c r="G5" s="162"/>
      <c r="H5" s="162"/>
      <c r="I5" s="164" t="s">
        <v>339</v>
      </c>
      <c r="J5" s="162"/>
      <c r="K5" s="162"/>
      <c r="L5" s="164" t="s">
        <v>371</v>
      </c>
      <c r="M5" s="162"/>
      <c r="N5" s="162"/>
      <c r="O5" s="164" t="s">
        <v>372</v>
      </c>
      <c r="P5" s="162"/>
      <c r="Q5" s="162"/>
      <c r="R5" s="104"/>
      <c r="S5" s="104"/>
    </row>
    <row r="6" spans="1:19" s="110" customFormat="1" outlineLevel="1">
      <c r="A6" s="102"/>
      <c r="B6" s="109"/>
      <c r="C6" s="153"/>
      <c r="D6" s="354"/>
      <c r="E6" s="354"/>
      <c r="F6" s="158"/>
      <c r="G6" s="162"/>
      <c r="H6" s="162"/>
      <c r="I6" s="164" t="s">
        <v>340</v>
      </c>
      <c r="J6" s="162"/>
      <c r="K6" s="162"/>
      <c r="L6" s="164" t="s">
        <v>373</v>
      </c>
      <c r="M6" s="162"/>
      <c r="N6" s="162"/>
      <c r="O6" s="164" t="s">
        <v>374</v>
      </c>
      <c r="P6" s="162"/>
      <c r="Q6" s="162"/>
      <c r="R6" s="104"/>
      <c r="S6" s="104"/>
    </row>
    <row r="7" spans="1:19" s="110" customFormat="1" outlineLevel="1">
      <c r="A7" s="102"/>
      <c r="B7" s="109"/>
      <c r="C7" s="353"/>
      <c r="D7" s="354"/>
      <c r="E7" s="354"/>
      <c r="F7" s="343"/>
      <c r="G7" s="162"/>
      <c r="H7" s="162"/>
      <c r="I7" s="163" t="s">
        <v>337</v>
      </c>
      <c r="J7" s="162"/>
      <c r="K7" s="162"/>
      <c r="L7" s="163" t="s">
        <v>337</v>
      </c>
      <c r="M7" s="162"/>
      <c r="N7" s="162"/>
      <c r="O7" s="163" t="s">
        <v>337</v>
      </c>
      <c r="P7" s="162"/>
      <c r="Q7" s="162"/>
      <c r="R7" s="104"/>
      <c r="S7" s="104"/>
    </row>
    <row r="8" spans="1:19" s="110" customFormat="1" outlineLevel="1">
      <c r="A8" s="102"/>
      <c r="B8" s="109"/>
      <c r="C8" s="353"/>
      <c r="D8" s="354"/>
      <c r="E8" s="354"/>
      <c r="F8" s="343"/>
      <c r="G8" s="162"/>
      <c r="H8" s="162"/>
      <c r="I8" s="163" t="s">
        <v>338</v>
      </c>
      <c r="J8" s="162"/>
      <c r="K8" s="162"/>
      <c r="L8" s="163" t="s">
        <v>338</v>
      </c>
      <c r="M8" s="162"/>
      <c r="N8" s="162"/>
      <c r="O8" s="163" t="s">
        <v>338</v>
      </c>
      <c r="P8" s="162"/>
      <c r="Q8" s="162"/>
      <c r="R8" s="104"/>
      <c r="S8" s="104"/>
    </row>
    <row r="9" spans="1:19" s="110" customFormat="1" outlineLevel="1">
      <c r="A9" s="102"/>
      <c r="B9" s="109"/>
      <c r="C9" s="353"/>
      <c r="D9" s="354"/>
      <c r="E9" s="354"/>
      <c r="F9" s="343"/>
      <c r="G9" s="162"/>
      <c r="H9" s="162"/>
      <c r="I9" s="163" t="s">
        <v>332</v>
      </c>
      <c r="J9" s="162"/>
      <c r="K9" s="162"/>
      <c r="L9" s="163" t="s">
        <v>332</v>
      </c>
      <c r="M9" s="162"/>
      <c r="N9" s="162"/>
      <c r="O9" s="163" t="s">
        <v>332</v>
      </c>
      <c r="P9" s="162"/>
      <c r="Q9" s="162"/>
      <c r="R9" s="104"/>
      <c r="S9" s="104"/>
    </row>
    <row r="10" spans="1:19" s="110" customFormat="1" outlineLevel="1">
      <c r="A10" s="102"/>
      <c r="B10" s="109"/>
      <c r="C10" s="353"/>
      <c r="D10" s="354"/>
      <c r="E10" s="354"/>
      <c r="F10" s="343"/>
      <c r="G10" s="162"/>
      <c r="H10" s="162"/>
      <c r="I10" s="163" t="s">
        <v>333</v>
      </c>
      <c r="J10" s="162"/>
      <c r="K10" s="162"/>
      <c r="L10" s="163" t="s">
        <v>333</v>
      </c>
      <c r="M10" s="162"/>
      <c r="N10" s="162"/>
      <c r="O10" s="163" t="s">
        <v>333</v>
      </c>
      <c r="P10" s="162"/>
      <c r="Q10" s="162"/>
      <c r="R10" s="104"/>
      <c r="S10" s="104"/>
    </row>
    <row r="11" spans="1:19" s="110" customFormat="1" outlineLevel="1">
      <c r="A11" s="102"/>
      <c r="B11" s="109"/>
      <c r="C11" s="353"/>
      <c r="D11" s="354"/>
      <c r="E11" s="354"/>
      <c r="F11" s="343"/>
      <c r="G11" s="162"/>
      <c r="H11" s="162"/>
      <c r="I11" s="163" t="s">
        <v>334</v>
      </c>
      <c r="J11" s="162"/>
      <c r="K11" s="162"/>
      <c r="L11" s="163" t="s">
        <v>334</v>
      </c>
      <c r="M11" s="162"/>
      <c r="N11" s="162"/>
      <c r="O11" s="163" t="s">
        <v>334</v>
      </c>
      <c r="P11" s="162"/>
      <c r="Q11" s="162"/>
      <c r="R11" s="104"/>
      <c r="S11" s="104"/>
    </row>
    <row r="12" spans="1:19" s="110" customFormat="1" outlineLevel="1">
      <c r="A12" s="102"/>
      <c r="B12" s="109"/>
      <c r="C12" s="353"/>
      <c r="D12" s="354"/>
      <c r="E12" s="354"/>
      <c r="F12" s="343"/>
      <c r="G12" s="162"/>
      <c r="H12" s="162"/>
      <c r="I12" s="163" t="s">
        <v>335</v>
      </c>
      <c r="J12" s="162"/>
      <c r="K12" s="162"/>
      <c r="L12" s="163" t="s">
        <v>335</v>
      </c>
      <c r="M12" s="162"/>
      <c r="N12" s="162"/>
      <c r="O12" s="163" t="s">
        <v>335</v>
      </c>
      <c r="P12" s="162"/>
      <c r="Q12" s="162"/>
      <c r="R12" s="104"/>
      <c r="S12" s="104"/>
    </row>
    <row r="13" spans="1:19" s="110" customFormat="1">
      <c r="A13" s="102"/>
      <c r="B13" s="109"/>
      <c r="C13" s="154"/>
      <c r="D13" s="109"/>
      <c r="E13" s="109"/>
      <c r="F13" s="165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04"/>
      <c r="S13" s="104"/>
    </row>
    <row r="14" spans="1:19" s="110" customFormat="1">
      <c r="A14" s="102"/>
      <c r="B14" s="109"/>
      <c r="C14" s="154"/>
      <c r="D14" s="109"/>
      <c r="E14" s="109"/>
      <c r="F14" s="165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04"/>
      <c r="S14" s="104"/>
    </row>
    <row r="15" spans="1:19" s="110" customFormat="1" ht="33" customHeight="1" thickBot="1">
      <c r="A15" s="102"/>
      <c r="B15" s="111"/>
      <c r="C15" s="340"/>
      <c r="D15" s="341"/>
      <c r="E15" s="342"/>
      <c r="F15" s="343"/>
      <c r="G15" s="344"/>
      <c r="H15" s="167" t="s">
        <v>375</v>
      </c>
      <c r="I15" s="166" t="s">
        <v>341</v>
      </c>
      <c r="J15" s="166" t="s">
        <v>276</v>
      </c>
      <c r="K15" s="167" t="s">
        <v>341</v>
      </c>
      <c r="L15" s="166" t="s">
        <v>376</v>
      </c>
      <c r="M15" s="166" t="s">
        <v>276</v>
      </c>
      <c r="N15" s="167" t="s">
        <v>376</v>
      </c>
      <c r="O15" s="166" t="s">
        <v>377</v>
      </c>
      <c r="P15" s="166" t="s">
        <v>276</v>
      </c>
      <c r="Q15" s="167" t="s">
        <v>377</v>
      </c>
      <c r="R15" s="104"/>
      <c r="S15" s="104"/>
    </row>
    <row r="16" spans="1:19" s="104" customFormat="1">
      <c r="A16" s="112"/>
      <c r="C16" s="345"/>
      <c r="D16" s="345"/>
      <c r="E16" s="346"/>
      <c r="F16" s="168"/>
      <c r="G16" s="168"/>
      <c r="H16" s="169"/>
      <c r="I16" s="168"/>
      <c r="J16" s="168"/>
      <c r="K16" s="169"/>
      <c r="L16" s="168"/>
      <c r="M16" s="168"/>
      <c r="N16" s="169"/>
      <c r="O16" s="168"/>
      <c r="P16" s="168"/>
      <c r="Q16" s="169"/>
    </row>
    <row r="17" spans="1:19" s="104" customFormat="1" outlineLevel="1">
      <c r="A17" s="102"/>
      <c r="B17" s="113"/>
      <c r="C17" s="347"/>
      <c r="D17" s="348"/>
      <c r="E17" s="349"/>
      <c r="F17" s="318"/>
      <c r="G17" s="319"/>
      <c r="H17" s="171">
        <v>749087.35573339998</v>
      </c>
      <c r="I17" s="172">
        <v>800940.13002209004</v>
      </c>
      <c r="J17" s="170"/>
      <c r="K17" s="171">
        <v>800940.13002209004</v>
      </c>
      <c r="L17" s="172">
        <v>639114.67241220805</v>
      </c>
      <c r="M17" s="170"/>
      <c r="N17" s="171">
        <v>639114.67241220805</v>
      </c>
      <c r="O17" s="172">
        <v>0</v>
      </c>
      <c r="P17" s="170"/>
      <c r="Q17" s="171">
        <v>0</v>
      </c>
      <c r="S17" s="104" t="b">
        <v>1</v>
      </c>
    </row>
    <row r="18" spans="1:19" outlineLevel="1">
      <c r="C18" s="347"/>
      <c r="D18" s="348"/>
      <c r="E18" s="349"/>
      <c r="F18" s="318"/>
      <c r="G18" s="319"/>
      <c r="H18" s="171">
        <v>471.366685321744</v>
      </c>
      <c r="I18" s="172">
        <v>18531.324295321701</v>
      </c>
      <c r="J18" s="170"/>
      <c r="K18" s="171">
        <v>18531.324295321701</v>
      </c>
      <c r="L18" s="172">
        <v>18485.8146203217</v>
      </c>
      <c r="M18" s="170"/>
      <c r="N18" s="171">
        <v>18485.8146203217</v>
      </c>
      <c r="O18" s="172">
        <v>0</v>
      </c>
      <c r="P18" s="170"/>
      <c r="Q18" s="171">
        <v>0</v>
      </c>
      <c r="S18" s="104" t="b">
        <v>1</v>
      </c>
    </row>
    <row r="19" spans="1:19" outlineLevel="1">
      <c r="C19" s="347"/>
      <c r="D19" s="348"/>
      <c r="E19" s="349"/>
      <c r="F19" s="318"/>
      <c r="G19" s="319"/>
      <c r="H19" s="171">
        <v>46746.763905</v>
      </c>
      <c r="I19" s="172">
        <v>387628.33210300002</v>
      </c>
      <c r="J19" s="170"/>
      <c r="K19" s="171">
        <v>387628.33210300002</v>
      </c>
      <c r="L19" s="172">
        <v>267368.15460200002</v>
      </c>
      <c r="M19" s="170"/>
      <c r="N19" s="171">
        <v>267368.15460200002</v>
      </c>
      <c r="O19" s="172">
        <v>0</v>
      </c>
      <c r="P19" s="170"/>
      <c r="Q19" s="171">
        <v>0</v>
      </c>
      <c r="S19" s="104" t="b">
        <v>1</v>
      </c>
    </row>
    <row r="20" spans="1:19" outlineLevel="1">
      <c r="C20" s="347"/>
      <c r="D20" s="348"/>
      <c r="E20" s="349"/>
      <c r="F20" s="318"/>
      <c r="G20" s="319"/>
      <c r="H20" s="171">
        <v>-2.3496049999999999</v>
      </c>
      <c r="I20" s="172">
        <v>-2.3496049999999999</v>
      </c>
      <c r="J20" s="170"/>
      <c r="K20" s="171">
        <v>-2.3496049999999999</v>
      </c>
      <c r="L20" s="172">
        <v>-2.3496049999999999</v>
      </c>
      <c r="M20" s="170"/>
      <c r="N20" s="171">
        <v>-2.3496049999999999</v>
      </c>
      <c r="O20" s="172">
        <v>0</v>
      </c>
      <c r="P20" s="170"/>
      <c r="Q20" s="171">
        <v>0</v>
      </c>
      <c r="S20" s="104" t="b">
        <v>1</v>
      </c>
    </row>
    <row r="21" spans="1:19" outlineLevel="1">
      <c r="C21" s="347"/>
      <c r="D21" s="348"/>
      <c r="E21" s="349"/>
      <c r="F21" s="318"/>
      <c r="G21" s="319"/>
      <c r="H21" s="171">
        <v>-67099.307879</v>
      </c>
      <c r="I21" s="172">
        <v>-63490.031018000001</v>
      </c>
      <c r="J21" s="170"/>
      <c r="K21" s="171">
        <v>-63490.031018000001</v>
      </c>
      <c r="L21" s="172">
        <v>-97299.346906000006</v>
      </c>
      <c r="M21" s="170">
        <v>174</v>
      </c>
      <c r="N21" s="171">
        <v>-97125.346906000006</v>
      </c>
      <c r="O21" s="172">
        <v>0</v>
      </c>
      <c r="P21" s="170"/>
      <c r="Q21" s="171">
        <v>0</v>
      </c>
      <c r="S21" s="104" t="b">
        <v>1</v>
      </c>
    </row>
    <row r="22" spans="1:19" s="114" customFormat="1">
      <c r="B22" s="115"/>
      <c r="C22" s="320"/>
      <c r="D22" s="321"/>
      <c r="E22" s="322"/>
      <c r="F22" s="323"/>
      <c r="G22" s="324"/>
      <c r="H22" s="175">
        <v>729203.82883972174</v>
      </c>
      <c r="I22" s="176">
        <v>1143607.4057974117</v>
      </c>
      <c r="J22" s="174">
        <v>0</v>
      </c>
      <c r="K22" s="175">
        <v>1143607.4057974117</v>
      </c>
      <c r="L22" s="176">
        <v>827666.94512352976</v>
      </c>
      <c r="M22" s="174">
        <v>174</v>
      </c>
      <c r="N22" s="175">
        <v>827840.94512352976</v>
      </c>
      <c r="O22" s="176">
        <v>0</v>
      </c>
      <c r="P22" s="174">
        <v>0</v>
      </c>
      <c r="Q22" s="175">
        <v>0</v>
      </c>
      <c r="R22" s="123"/>
      <c r="S22" s="104" t="e">
        <v>#REF!</v>
      </c>
    </row>
    <row r="23" spans="1:19">
      <c r="C23" s="347"/>
      <c r="D23" s="348"/>
      <c r="E23" s="349"/>
      <c r="F23" s="318"/>
      <c r="G23" s="319"/>
      <c r="H23" s="171"/>
      <c r="I23" s="172"/>
      <c r="J23" s="170"/>
      <c r="K23" s="171"/>
      <c r="L23" s="172"/>
      <c r="M23" s="170"/>
      <c r="N23" s="171"/>
      <c r="O23" s="172"/>
      <c r="P23" s="170"/>
      <c r="Q23" s="171"/>
      <c r="S23" s="104" t="e">
        <v>#REF!</v>
      </c>
    </row>
    <row r="24" spans="1:19" outlineLevel="1">
      <c r="C24" s="347"/>
      <c r="D24" s="348"/>
      <c r="E24" s="349"/>
      <c r="F24" s="318"/>
      <c r="G24" s="319"/>
      <c r="H24" s="171">
        <v>0</v>
      </c>
      <c r="I24" s="172">
        <v>0</v>
      </c>
      <c r="J24" s="170"/>
      <c r="K24" s="171">
        <v>0</v>
      </c>
      <c r="L24" s="172">
        <v>0</v>
      </c>
      <c r="M24" s="170"/>
      <c r="N24" s="171">
        <v>0</v>
      </c>
      <c r="O24" s="172">
        <v>0</v>
      </c>
      <c r="P24" s="170"/>
      <c r="Q24" s="171">
        <v>0</v>
      </c>
      <c r="S24" s="104" t="b">
        <v>1</v>
      </c>
    </row>
    <row r="25" spans="1:19" outlineLevel="1">
      <c r="C25" s="347"/>
      <c r="D25" s="348"/>
      <c r="E25" s="349"/>
      <c r="F25" s="318"/>
      <c r="G25" s="319"/>
      <c r="H25" s="171">
        <v>334.58776399999999</v>
      </c>
      <c r="I25" s="172">
        <v>574.45933500000001</v>
      </c>
      <c r="J25" s="170"/>
      <c r="K25" s="171">
        <v>574.45933500000001</v>
      </c>
      <c r="L25" s="172">
        <v>40931.953209743799</v>
      </c>
      <c r="M25" s="170"/>
      <c r="N25" s="171">
        <v>40931.953209743799</v>
      </c>
      <c r="O25" s="172">
        <v>0</v>
      </c>
      <c r="P25" s="170"/>
      <c r="Q25" s="171">
        <v>0</v>
      </c>
      <c r="S25" s="104" t="b">
        <v>1</v>
      </c>
    </row>
    <row r="26" spans="1:19" outlineLevel="1">
      <c r="C26" s="347"/>
      <c r="D26" s="348"/>
      <c r="E26" s="349"/>
      <c r="F26" s="318"/>
      <c r="G26" s="319"/>
      <c r="H26" s="171">
        <v>7531.1242442951097</v>
      </c>
      <c r="I26" s="172">
        <v>22411.3486762951</v>
      </c>
      <c r="J26" s="170"/>
      <c r="K26" s="171">
        <v>22411.3486762951</v>
      </c>
      <c r="L26" s="172">
        <v>112781.319148</v>
      </c>
      <c r="M26" s="170"/>
      <c r="N26" s="171">
        <v>112781.319148</v>
      </c>
      <c r="O26" s="172">
        <v>0</v>
      </c>
      <c r="P26" s="170"/>
      <c r="Q26" s="171">
        <v>0</v>
      </c>
      <c r="S26" s="104" t="b">
        <v>1</v>
      </c>
    </row>
    <row r="27" spans="1:19" outlineLevel="1">
      <c r="C27" s="347"/>
      <c r="D27" s="348"/>
      <c r="E27" s="349"/>
      <c r="F27" s="318"/>
      <c r="G27" s="319"/>
      <c r="H27" s="171">
        <v>29498.9032582</v>
      </c>
      <c r="I27" s="172">
        <v>12816.171611</v>
      </c>
      <c r="J27" s="170"/>
      <c r="K27" s="171">
        <v>12816.171611</v>
      </c>
      <c r="L27" s="172">
        <v>3414.0812500000002</v>
      </c>
      <c r="M27" s="170"/>
      <c r="N27" s="171">
        <v>3414.0812500000002</v>
      </c>
      <c r="O27" s="172">
        <v>0</v>
      </c>
      <c r="P27" s="170"/>
      <c r="Q27" s="171">
        <v>0</v>
      </c>
      <c r="S27" s="104" t="b">
        <v>1</v>
      </c>
    </row>
    <row r="28" spans="1:19" outlineLevel="1">
      <c r="A28" s="548"/>
      <c r="C28" s="347"/>
      <c r="D28" s="348"/>
      <c r="E28" s="349"/>
      <c r="F28" s="318"/>
      <c r="G28" s="319"/>
      <c r="H28" s="171">
        <v>216146.01794600001</v>
      </c>
      <c r="I28" s="172">
        <v>373396.38498999999</v>
      </c>
      <c r="J28" s="170"/>
      <c r="K28" s="171">
        <v>373396.38498999999</v>
      </c>
      <c r="L28" s="172">
        <v>300640.11197000003</v>
      </c>
      <c r="M28" s="170"/>
      <c r="N28" s="171">
        <v>300640.11197000003</v>
      </c>
      <c r="O28" s="172">
        <v>0</v>
      </c>
      <c r="P28" s="170"/>
      <c r="Q28" s="171">
        <v>0</v>
      </c>
      <c r="S28" s="104" t="b">
        <v>0</v>
      </c>
    </row>
    <row r="29" spans="1:19" outlineLevel="1">
      <c r="C29" s="347"/>
      <c r="D29" s="348"/>
      <c r="E29" s="349"/>
      <c r="F29" s="318"/>
      <c r="G29" s="319"/>
      <c r="H29" s="171">
        <v>216146.01794600001</v>
      </c>
      <c r="I29" s="172">
        <v>373396.38498999999</v>
      </c>
      <c r="J29" s="170"/>
      <c r="K29" s="171">
        <v>373396.38498999999</v>
      </c>
      <c r="L29" s="172">
        <v>300640.11197000003</v>
      </c>
      <c r="M29" s="170"/>
      <c r="N29" s="171">
        <v>300640.11197000003</v>
      </c>
      <c r="O29" s="172">
        <v>0</v>
      </c>
      <c r="P29" s="170"/>
      <c r="Q29" s="171">
        <v>0</v>
      </c>
      <c r="S29" s="104" t="b">
        <v>0</v>
      </c>
    </row>
    <row r="30" spans="1:19" outlineLevel="1">
      <c r="C30" s="347"/>
      <c r="D30" s="348"/>
      <c r="E30" s="349"/>
      <c r="F30" s="318"/>
      <c r="G30" s="319"/>
      <c r="H30" s="171">
        <v>8103.9</v>
      </c>
      <c r="I30" s="172">
        <v>0</v>
      </c>
      <c r="J30" s="170"/>
      <c r="K30" s="171">
        <v>0</v>
      </c>
      <c r="L30" s="172">
        <v>-82339.16</v>
      </c>
      <c r="M30" s="170"/>
      <c r="N30" s="171">
        <v>-82339.16</v>
      </c>
      <c r="O30" s="172">
        <v>0</v>
      </c>
      <c r="P30" s="170"/>
      <c r="Q30" s="171">
        <v>0</v>
      </c>
      <c r="S30" s="104" t="b">
        <v>1</v>
      </c>
    </row>
    <row r="31" spans="1:19" outlineLevel="1">
      <c r="C31" s="347"/>
      <c r="D31" s="348"/>
      <c r="E31" s="349"/>
      <c r="F31" s="318"/>
      <c r="G31" s="319"/>
      <c r="H31" s="171">
        <v>-70708.44</v>
      </c>
      <c r="I31" s="172">
        <v>-62604.54</v>
      </c>
      <c r="J31" s="170"/>
      <c r="K31" s="171">
        <v>-62604.54</v>
      </c>
      <c r="L31" s="172">
        <v>1211.25</v>
      </c>
      <c r="M31" s="170"/>
      <c r="N31" s="171">
        <v>1211.25</v>
      </c>
      <c r="O31" s="172">
        <v>0</v>
      </c>
      <c r="P31" s="170"/>
      <c r="Q31" s="171">
        <v>0</v>
      </c>
      <c r="S31" s="104" t="b">
        <v>1</v>
      </c>
    </row>
    <row r="32" spans="1:19" outlineLevel="1">
      <c r="C32" s="347"/>
      <c r="D32" s="348"/>
      <c r="E32" s="349"/>
      <c r="F32" s="318"/>
      <c r="G32" s="319"/>
      <c r="H32" s="171">
        <v>141.35</v>
      </c>
      <c r="I32" s="172">
        <v>258.52</v>
      </c>
      <c r="J32" s="170"/>
      <c r="K32" s="171">
        <v>258.52</v>
      </c>
      <c r="L32" s="172">
        <v>-3</v>
      </c>
      <c r="M32" s="170"/>
      <c r="N32" s="171">
        <v>-3</v>
      </c>
      <c r="O32" s="172">
        <v>0</v>
      </c>
      <c r="P32" s="170"/>
      <c r="Q32" s="171">
        <v>0</v>
      </c>
      <c r="S32" s="104" t="b">
        <v>1</v>
      </c>
    </row>
    <row r="33" spans="2:19" outlineLevel="1">
      <c r="C33" s="347"/>
      <c r="D33" s="348"/>
      <c r="E33" s="349"/>
      <c r="F33" s="318"/>
      <c r="G33" s="319"/>
      <c r="H33" s="171">
        <v>168</v>
      </c>
      <c r="I33" s="172">
        <v>3553</v>
      </c>
      <c r="J33" s="170"/>
      <c r="K33" s="171">
        <v>3553</v>
      </c>
      <c r="L33" s="172">
        <v>0</v>
      </c>
      <c r="M33" s="170"/>
      <c r="N33" s="171">
        <v>0</v>
      </c>
      <c r="O33" s="172">
        <v>0</v>
      </c>
      <c r="P33" s="170"/>
      <c r="Q33" s="171">
        <v>0</v>
      </c>
      <c r="S33" s="104" t="b">
        <v>1</v>
      </c>
    </row>
    <row r="34" spans="2:19" outlineLevel="1">
      <c r="C34" s="347"/>
      <c r="D34" s="348"/>
      <c r="E34" s="349"/>
      <c r="F34" s="318"/>
      <c r="G34" s="319"/>
      <c r="H34" s="171">
        <v>0</v>
      </c>
      <c r="I34" s="172">
        <v>0</v>
      </c>
      <c r="J34" s="170"/>
      <c r="K34" s="171">
        <v>0</v>
      </c>
      <c r="L34" s="172">
        <v>0</v>
      </c>
      <c r="M34" s="170"/>
      <c r="N34" s="171">
        <v>0</v>
      </c>
      <c r="O34" s="172">
        <v>0</v>
      </c>
      <c r="P34" s="170"/>
      <c r="Q34" s="171">
        <v>0</v>
      </c>
      <c r="S34" s="104" t="b">
        <v>1</v>
      </c>
    </row>
    <row r="35" spans="2:19" outlineLevel="1">
      <c r="C35" s="347"/>
      <c r="D35" s="348"/>
      <c r="E35" s="349"/>
      <c r="F35" s="318"/>
      <c r="G35" s="319"/>
      <c r="H35" s="171">
        <v>-56570.646584000002</v>
      </c>
      <c r="I35" s="172">
        <v>-225352.299822</v>
      </c>
      <c r="J35" s="170"/>
      <c r="K35" s="171">
        <v>-225352.299822</v>
      </c>
      <c r="L35" s="172">
        <v>-200565.95042199999</v>
      </c>
      <c r="M35" s="170">
        <v>1425</v>
      </c>
      <c r="N35" s="171">
        <v>-199140.95042199999</v>
      </c>
      <c r="O35" s="172">
        <v>0</v>
      </c>
      <c r="P35" s="170">
        <v>20006</v>
      </c>
      <c r="Q35" s="171">
        <v>20006</v>
      </c>
      <c r="S35" s="104" t="b">
        <v>1</v>
      </c>
    </row>
    <row r="36" spans="2:19" outlineLevel="1">
      <c r="C36" s="347"/>
      <c r="D36" s="348"/>
      <c r="E36" s="349"/>
      <c r="F36" s="318"/>
      <c r="G36" s="319"/>
      <c r="H36" s="171">
        <v>-4486.2299999999996</v>
      </c>
      <c r="I36" s="172">
        <v>-4321.2299999999996</v>
      </c>
      <c r="J36" s="170"/>
      <c r="K36" s="171">
        <v>-4321.2299999999996</v>
      </c>
      <c r="L36" s="172">
        <v>-30487.193748000002</v>
      </c>
      <c r="M36" s="170"/>
      <c r="N36" s="171">
        <v>-30487.193748000002</v>
      </c>
      <c r="O36" s="172">
        <v>0</v>
      </c>
      <c r="P36" s="170"/>
      <c r="Q36" s="171">
        <v>0</v>
      </c>
      <c r="S36" s="104" t="b">
        <v>1</v>
      </c>
    </row>
    <row r="37" spans="2:19" outlineLevel="1">
      <c r="C37" s="347"/>
      <c r="D37" s="348"/>
      <c r="E37" s="349"/>
      <c r="F37" s="318"/>
      <c r="G37" s="319"/>
      <c r="H37" s="171">
        <v>-372.76100000000002</v>
      </c>
      <c r="I37" s="172">
        <v>-381.28</v>
      </c>
      <c r="J37" s="170"/>
      <c r="K37" s="171">
        <v>-381.28</v>
      </c>
      <c r="L37" s="172">
        <v>0</v>
      </c>
      <c r="M37" s="170"/>
      <c r="N37" s="171">
        <v>0</v>
      </c>
      <c r="O37" s="172">
        <v>0</v>
      </c>
      <c r="P37" s="170"/>
      <c r="Q37" s="171">
        <v>0</v>
      </c>
      <c r="S37" s="104" t="b">
        <v>1</v>
      </c>
    </row>
    <row r="38" spans="2:19" s="114" customFormat="1">
      <c r="C38" s="320"/>
      <c r="D38" s="321"/>
      <c r="E38" s="322"/>
      <c r="F38" s="323"/>
      <c r="G38" s="324"/>
      <c r="H38" s="175">
        <v>129785.80562849513</v>
      </c>
      <c r="I38" s="176">
        <v>120350.5347902951</v>
      </c>
      <c r="J38" s="174">
        <v>0</v>
      </c>
      <c r="K38" s="175">
        <v>120350.5347902951</v>
      </c>
      <c r="L38" s="176">
        <v>145583.41140774381</v>
      </c>
      <c r="M38" s="174">
        <v>1425</v>
      </c>
      <c r="N38" s="175">
        <v>147008.41140774381</v>
      </c>
      <c r="O38" s="176">
        <v>0</v>
      </c>
      <c r="P38" s="174">
        <v>20006</v>
      </c>
      <c r="Q38" s="175">
        <v>20006</v>
      </c>
      <c r="R38" s="116"/>
      <c r="S38" s="104" t="e">
        <v>#REF!</v>
      </c>
    </row>
    <row r="39" spans="2:19" outlineLevel="1">
      <c r="C39" s="347"/>
      <c r="D39" s="348"/>
      <c r="E39" s="349"/>
      <c r="F39" s="318"/>
      <c r="G39" s="319"/>
      <c r="H39" s="171">
        <v>20572.848835910001</v>
      </c>
      <c r="I39" s="172">
        <v>51721.758600000001</v>
      </c>
      <c r="J39" s="170"/>
      <c r="K39" s="171">
        <v>51721.758600000001</v>
      </c>
      <c r="L39" s="172">
        <v>0</v>
      </c>
      <c r="M39" s="170"/>
      <c r="N39" s="171">
        <v>0</v>
      </c>
      <c r="O39" s="172">
        <v>0</v>
      </c>
      <c r="P39" s="170"/>
      <c r="Q39" s="171">
        <v>0</v>
      </c>
      <c r="S39" s="104" t="b">
        <v>1</v>
      </c>
    </row>
    <row r="40" spans="2:19" outlineLevel="1">
      <c r="C40" s="347"/>
      <c r="D40" s="348"/>
      <c r="E40" s="349"/>
      <c r="F40" s="318"/>
      <c r="G40" s="319"/>
      <c r="H40" s="171">
        <v>-716.95444999999995</v>
      </c>
      <c r="I40" s="172">
        <v>0</v>
      </c>
      <c r="J40" s="170"/>
      <c r="K40" s="171">
        <v>0</v>
      </c>
      <c r="L40" s="172">
        <v>0</v>
      </c>
      <c r="M40" s="170"/>
      <c r="N40" s="171">
        <v>0</v>
      </c>
      <c r="O40" s="172">
        <v>0</v>
      </c>
      <c r="P40" s="170"/>
      <c r="Q40" s="171">
        <v>0</v>
      </c>
      <c r="S40" s="104" t="b">
        <v>1</v>
      </c>
    </row>
    <row r="41" spans="2:19" outlineLevel="1">
      <c r="C41" s="347"/>
      <c r="D41" s="348"/>
      <c r="E41" s="349"/>
      <c r="F41" s="318"/>
      <c r="G41" s="319"/>
      <c r="H41" s="171">
        <v>-322.6295025</v>
      </c>
      <c r="I41" s="172">
        <v>0</v>
      </c>
      <c r="J41" s="170"/>
      <c r="K41" s="171">
        <v>0</v>
      </c>
      <c r="L41" s="172">
        <v>0</v>
      </c>
      <c r="M41" s="170"/>
      <c r="N41" s="171">
        <v>0</v>
      </c>
      <c r="O41" s="172">
        <v>0</v>
      </c>
      <c r="P41" s="170"/>
      <c r="Q41" s="171">
        <v>0</v>
      </c>
      <c r="S41" s="104" t="b">
        <v>1</v>
      </c>
    </row>
    <row r="42" spans="2:19" s="114" customFormat="1">
      <c r="C42" s="320"/>
      <c r="D42" s="321"/>
      <c r="E42" s="322"/>
      <c r="F42" s="323"/>
      <c r="G42" s="324"/>
      <c r="H42" s="175">
        <v>19533.26488341</v>
      </c>
      <c r="I42" s="176">
        <v>51721.758600000001</v>
      </c>
      <c r="J42" s="174">
        <v>0</v>
      </c>
      <c r="K42" s="175">
        <v>51721.758600000001</v>
      </c>
      <c r="L42" s="176">
        <v>0</v>
      </c>
      <c r="M42" s="174">
        <v>0</v>
      </c>
      <c r="N42" s="175">
        <v>0</v>
      </c>
      <c r="O42" s="176">
        <v>0</v>
      </c>
      <c r="P42" s="174">
        <v>0</v>
      </c>
      <c r="Q42" s="175">
        <v>0</v>
      </c>
      <c r="R42" s="116"/>
      <c r="S42" s="104" t="e">
        <v>#REF!</v>
      </c>
    </row>
    <row r="43" spans="2:19" outlineLevel="1">
      <c r="C43" s="347"/>
      <c r="D43" s="348"/>
      <c r="E43" s="349"/>
      <c r="F43" s="318"/>
      <c r="G43" s="319"/>
      <c r="H43" s="171">
        <v>2487</v>
      </c>
      <c r="I43" s="172">
        <v>16495</v>
      </c>
      <c r="J43" s="170"/>
      <c r="K43" s="171">
        <v>16495</v>
      </c>
      <c r="L43" s="172">
        <v>0</v>
      </c>
      <c r="M43" s="170"/>
      <c r="N43" s="171">
        <v>0</v>
      </c>
      <c r="O43" s="172">
        <v>0</v>
      </c>
      <c r="P43" s="170"/>
      <c r="Q43" s="171">
        <v>0</v>
      </c>
      <c r="S43" s="104" t="b">
        <v>1</v>
      </c>
    </row>
    <row r="44" spans="2:19" outlineLevel="1">
      <c r="C44" s="347"/>
      <c r="D44" s="348"/>
      <c r="E44" s="349"/>
      <c r="F44" s="318"/>
      <c r="G44" s="319"/>
      <c r="H44" s="171">
        <v>0</v>
      </c>
      <c r="I44" s="172">
        <v>0</v>
      </c>
      <c r="J44" s="170"/>
      <c r="K44" s="171">
        <v>0</v>
      </c>
      <c r="L44" s="172">
        <v>0</v>
      </c>
      <c r="M44" s="170"/>
      <c r="N44" s="171">
        <v>0</v>
      </c>
      <c r="O44" s="172">
        <v>0</v>
      </c>
      <c r="P44" s="170"/>
      <c r="Q44" s="171">
        <v>0</v>
      </c>
      <c r="S44" s="104" t="b">
        <v>1</v>
      </c>
    </row>
    <row r="45" spans="2:19" outlineLevel="1">
      <c r="C45" s="347"/>
      <c r="D45" s="348"/>
      <c r="E45" s="349"/>
      <c r="F45" s="318"/>
      <c r="G45" s="319"/>
      <c r="H45" s="171">
        <v>0</v>
      </c>
      <c r="I45" s="172">
        <v>0</v>
      </c>
      <c r="J45" s="170"/>
      <c r="K45" s="171">
        <v>0</v>
      </c>
      <c r="L45" s="172">
        <v>0</v>
      </c>
      <c r="M45" s="170"/>
      <c r="N45" s="171">
        <v>0</v>
      </c>
      <c r="O45" s="172">
        <v>0</v>
      </c>
      <c r="P45" s="170"/>
      <c r="Q45" s="171">
        <v>0</v>
      </c>
      <c r="S45" s="104" t="b">
        <v>1</v>
      </c>
    </row>
    <row r="46" spans="2:19" s="114" customFormat="1">
      <c r="C46" s="320"/>
      <c r="D46" s="321"/>
      <c r="E46" s="322"/>
      <c r="F46" s="323"/>
      <c r="G46" s="324"/>
      <c r="H46" s="175">
        <v>2487</v>
      </c>
      <c r="I46" s="176">
        <v>16495</v>
      </c>
      <c r="J46" s="174">
        <v>0</v>
      </c>
      <c r="K46" s="175">
        <v>16495</v>
      </c>
      <c r="L46" s="176">
        <v>0</v>
      </c>
      <c r="M46" s="174">
        <v>0</v>
      </c>
      <c r="N46" s="175">
        <v>0</v>
      </c>
      <c r="O46" s="176">
        <v>0</v>
      </c>
      <c r="P46" s="174">
        <v>0</v>
      </c>
      <c r="Q46" s="175">
        <v>0</v>
      </c>
      <c r="R46" s="116"/>
      <c r="S46" s="104" t="e">
        <v>#REF!</v>
      </c>
    </row>
    <row r="47" spans="2:19" s="114" customFormat="1">
      <c r="B47" s="115"/>
      <c r="C47" s="391"/>
      <c r="D47" s="321"/>
      <c r="E47" s="391"/>
      <c r="F47" s="323"/>
      <c r="G47" s="324"/>
      <c r="H47" s="175">
        <v>151806.07051190513</v>
      </c>
      <c r="I47" s="176">
        <v>188567.29339029512</v>
      </c>
      <c r="J47" s="174">
        <v>0</v>
      </c>
      <c r="K47" s="175">
        <v>188567.29339029512</v>
      </c>
      <c r="L47" s="176">
        <v>145583.41140774381</v>
      </c>
      <c r="M47" s="174">
        <v>1425</v>
      </c>
      <c r="N47" s="175">
        <v>147008.41140774381</v>
      </c>
      <c r="O47" s="176">
        <v>0</v>
      </c>
      <c r="P47" s="174">
        <v>20006</v>
      </c>
      <c r="Q47" s="175">
        <v>20006</v>
      </c>
      <c r="R47" s="116"/>
      <c r="S47" s="104" t="e">
        <v>#REF!</v>
      </c>
    </row>
    <row r="48" spans="2:19" s="114" customFormat="1">
      <c r="C48" s="320"/>
      <c r="D48" s="321"/>
      <c r="E48" s="322"/>
      <c r="F48" s="323"/>
      <c r="G48" s="324"/>
      <c r="H48" s="175"/>
      <c r="I48" s="176"/>
      <c r="J48" s="174"/>
      <c r="K48" s="175"/>
      <c r="L48" s="176"/>
      <c r="M48" s="174"/>
      <c r="N48" s="175"/>
      <c r="O48" s="176"/>
      <c r="P48" s="174"/>
      <c r="Q48" s="175"/>
      <c r="R48" s="116"/>
      <c r="S48" s="104" t="e">
        <v>#REF!</v>
      </c>
    </row>
    <row r="49" spans="1:19" outlineLevel="1">
      <c r="A49" s="110"/>
      <c r="C49" s="347"/>
      <c r="D49" s="348"/>
      <c r="E49" s="349"/>
      <c r="F49" s="318"/>
      <c r="G49" s="319"/>
      <c r="H49" s="171">
        <v>38895.397008058098</v>
      </c>
      <c r="I49" s="172">
        <v>39347.664970038</v>
      </c>
      <c r="J49" s="170"/>
      <c r="K49" s="171">
        <v>39347.664970038</v>
      </c>
      <c r="L49" s="172">
        <v>4662.8674410000003</v>
      </c>
      <c r="M49" s="170"/>
      <c r="N49" s="171">
        <v>4662.8674410000003</v>
      </c>
      <c r="O49" s="172">
        <v>0</v>
      </c>
      <c r="P49" s="170"/>
      <c r="Q49" s="171">
        <v>0</v>
      </c>
      <c r="S49" s="104" t="b">
        <v>1</v>
      </c>
    </row>
    <row r="50" spans="1:19" outlineLevel="1">
      <c r="A50" s="110"/>
      <c r="C50" s="347"/>
      <c r="D50" s="348"/>
      <c r="E50" s="349"/>
      <c r="F50" s="318"/>
      <c r="G50" s="319"/>
      <c r="H50" s="171">
        <v>70991.748691999994</v>
      </c>
      <c r="I50" s="172">
        <v>111734.19482</v>
      </c>
      <c r="J50" s="170"/>
      <c r="K50" s="171">
        <v>111734.19482</v>
      </c>
      <c r="L50" s="172">
        <v>97351.455279000002</v>
      </c>
      <c r="M50" s="170"/>
      <c r="N50" s="171">
        <v>97351.455279000002</v>
      </c>
      <c r="O50" s="172">
        <v>0</v>
      </c>
      <c r="P50" s="170"/>
      <c r="Q50" s="171">
        <v>0</v>
      </c>
      <c r="S50" s="104" t="b">
        <v>1</v>
      </c>
    </row>
    <row r="51" spans="1:19" outlineLevel="1">
      <c r="A51" s="110"/>
      <c r="C51" s="347"/>
      <c r="D51" s="348"/>
      <c r="E51" s="349"/>
      <c r="F51" s="318"/>
      <c r="G51" s="319"/>
      <c r="H51" s="171">
        <v>12.207953</v>
      </c>
      <c r="I51" s="172">
        <v>1.3407899999999999</v>
      </c>
      <c r="J51" s="170"/>
      <c r="K51" s="171">
        <v>1.3407899999999999</v>
      </c>
      <c r="L51" s="172">
        <v>0</v>
      </c>
      <c r="M51" s="170"/>
      <c r="N51" s="171">
        <v>0</v>
      </c>
      <c r="O51" s="172">
        <v>0</v>
      </c>
      <c r="P51" s="170"/>
      <c r="Q51" s="171">
        <v>0</v>
      </c>
      <c r="S51" s="104" t="b">
        <v>1</v>
      </c>
    </row>
    <row r="52" spans="1:19" outlineLevel="1">
      <c r="A52" s="110"/>
      <c r="C52" s="347"/>
      <c r="D52" s="348"/>
      <c r="E52" s="349"/>
      <c r="F52" s="318"/>
      <c r="G52" s="319"/>
      <c r="H52" s="171">
        <v>28423.419418500001</v>
      </c>
      <c r="I52" s="172">
        <v>17155.25</v>
      </c>
      <c r="J52" s="170"/>
      <c r="K52" s="171">
        <v>17155.25</v>
      </c>
      <c r="L52" s="172">
        <v>75159.521434295093</v>
      </c>
      <c r="M52" s="170"/>
      <c r="N52" s="171">
        <v>75159.521434295093</v>
      </c>
      <c r="O52" s="172">
        <v>0</v>
      </c>
      <c r="P52" s="170"/>
      <c r="Q52" s="171">
        <v>0</v>
      </c>
      <c r="S52" s="104" t="b">
        <v>1</v>
      </c>
    </row>
    <row r="53" spans="1:19" outlineLevel="1">
      <c r="A53" s="110"/>
      <c r="C53" s="347"/>
      <c r="D53" s="348"/>
      <c r="E53" s="349"/>
      <c r="F53" s="318"/>
      <c r="G53" s="319"/>
      <c r="H53" s="171">
        <v>0</v>
      </c>
      <c r="I53" s="172">
        <v>-18506.37</v>
      </c>
      <c r="J53" s="170"/>
      <c r="K53" s="171">
        <v>-18506.37</v>
      </c>
      <c r="L53" s="172">
        <v>-2069.095225</v>
      </c>
      <c r="M53" s="170"/>
      <c r="N53" s="171">
        <v>-2069.095225</v>
      </c>
      <c r="O53" s="172">
        <v>0</v>
      </c>
      <c r="P53" s="170"/>
      <c r="Q53" s="171">
        <v>0</v>
      </c>
      <c r="S53" s="104" t="b">
        <v>1</v>
      </c>
    </row>
    <row r="54" spans="1:19" outlineLevel="1">
      <c r="A54" s="110"/>
      <c r="C54" s="347"/>
      <c r="D54" s="348"/>
      <c r="E54" s="349"/>
      <c r="F54" s="318"/>
      <c r="G54" s="319"/>
      <c r="H54" s="171">
        <v>0</v>
      </c>
      <c r="I54" s="172">
        <v>0</v>
      </c>
      <c r="J54" s="170"/>
      <c r="K54" s="171">
        <v>0</v>
      </c>
      <c r="L54" s="172">
        <v>0</v>
      </c>
      <c r="M54" s="170"/>
      <c r="N54" s="171">
        <v>0</v>
      </c>
      <c r="O54" s="172">
        <v>0</v>
      </c>
      <c r="P54" s="170"/>
      <c r="Q54" s="171">
        <v>0</v>
      </c>
      <c r="S54" s="104" t="b">
        <v>1</v>
      </c>
    </row>
    <row r="55" spans="1:19" outlineLevel="1">
      <c r="A55" s="110"/>
      <c r="C55" s="347"/>
      <c r="D55" s="348"/>
      <c r="E55" s="349"/>
      <c r="F55" s="318"/>
      <c r="G55" s="319"/>
      <c r="H55" s="171">
        <v>0</v>
      </c>
      <c r="I55" s="172">
        <v>0</v>
      </c>
      <c r="J55" s="170"/>
      <c r="K55" s="171">
        <v>0</v>
      </c>
      <c r="L55" s="172">
        <v>0</v>
      </c>
      <c r="M55" s="170"/>
      <c r="N55" s="171">
        <v>0</v>
      </c>
      <c r="O55" s="172">
        <v>0</v>
      </c>
      <c r="P55" s="170"/>
      <c r="Q55" s="171">
        <v>0</v>
      </c>
      <c r="S55" s="104" t="b">
        <v>1</v>
      </c>
    </row>
    <row r="56" spans="1:19" outlineLevel="1">
      <c r="A56" s="110"/>
      <c r="C56" s="347"/>
      <c r="D56" s="348"/>
      <c r="E56" s="349"/>
      <c r="F56" s="318"/>
      <c r="G56" s="319"/>
      <c r="H56" s="171">
        <v>0</v>
      </c>
      <c r="I56" s="172">
        <v>0</v>
      </c>
      <c r="J56" s="170"/>
      <c r="K56" s="171">
        <v>0</v>
      </c>
      <c r="L56" s="172">
        <v>0</v>
      </c>
      <c r="M56" s="170"/>
      <c r="N56" s="171">
        <v>0</v>
      </c>
      <c r="O56" s="172">
        <v>0</v>
      </c>
      <c r="P56" s="170"/>
      <c r="Q56" s="171">
        <v>0</v>
      </c>
      <c r="S56" s="104" t="b">
        <v>1</v>
      </c>
    </row>
    <row r="57" spans="1:19" outlineLevel="1">
      <c r="A57" s="110"/>
      <c r="C57" s="347"/>
      <c r="D57" s="348"/>
      <c r="E57" s="349"/>
      <c r="F57" s="318"/>
      <c r="G57" s="319"/>
      <c r="H57" s="171">
        <v>0</v>
      </c>
      <c r="I57" s="172">
        <v>0</v>
      </c>
      <c r="J57" s="170"/>
      <c r="K57" s="171">
        <v>0</v>
      </c>
      <c r="L57" s="172">
        <v>0</v>
      </c>
      <c r="M57" s="170"/>
      <c r="N57" s="171">
        <v>0</v>
      </c>
      <c r="O57" s="172">
        <v>0</v>
      </c>
      <c r="P57" s="170"/>
      <c r="Q57" s="171">
        <v>0</v>
      </c>
      <c r="S57" s="104" t="b">
        <v>1</v>
      </c>
    </row>
    <row r="58" spans="1:19" outlineLevel="1">
      <c r="A58" s="110"/>
      <c r="C58" s="347"/>
      <c r="D58" s="348"/>
      <c r="E58" s="349"/>
      <c r="F58" s="318"/>
      <c r="G58" s="319"/>
      <c r="H58" s="171">
        <v>-5562</v>
      </c>
      <c r="I58" s="172">
        <v>-4995</v>
      </c>
      <c r="J58" s="170"/>
      <c r="K58" s="171">
        <v>-4995</v>
      </c>
      <c r="L58" s="172">
        <v>-5271.1910239999997</v>
      </c>
      <c r="M58" s="170"/>
      <c r="N58" s="171">
        <v>-5271.1910239999997</v>
      </c>
      <c r="O58" s="172">
        <v>0</v>
      </c>
      <c r="P58" s="170"/>
      <c r="Q58" s="171">
        <v>0</v>
      </c>
      <c r="S58" s="104" t="b">
        <v>1</v>
      </c>
    </row>
    <row r="59" spans="1:19" outlineLevel="1">
      <c r="A59" s="110"/>
      <c r="C59" s="347"/>
      <c r="D59" s="348"/>
      <c r="E59" s="349"/>
      <c r="F59" s="318"/>
      <c r="G59" s="319"/>
      <c r="H59" s="171">
        <v>0</v>
      </c>
      <c r="I59" s="172">
        <v>-0.42516300000000001</v>
      </c>
      <c r="J59" s="170"/>
      <c r="K59" s="171">
        <v>-0.42516300000000001</v>
      </c>
      <c r="L59" s="172">
        <v>-18260.425163</v>
      </c>
      <c r="M59" s="170">
        <v>3517</v>
      </c>
      <c r="N59" s="171">
        <v>-14743.425163</v>
      </c>
      <c r="O59" s="172">
        <v>0</v>
      </c>
      <c r="P59" s="170">
        <v>4482</v>
      </c>
      <c r="Q59" s="171">
        <v>4482</v>
      </c>
      <c r="S59" s="104" t="b">
        <v>1</v>
      </c>
    </row>
    <row r="60" spans="1:19" s="114" customFormat="1">
      <c r="A60" s="120"/>
      <c r="C60" s="320"/>
      <c r="D60" s="321"/>
      <c r="E60" s="322"/>
      <c r="F60" s="323"/>
      <c r="G60" s="324"/>
      <c r="H60" s="175">
        <v>144463.4003185581</v>
      </c>
      <c r="I60" s="176">
        <v>154677.28104303798</v>
      </c>
      <c r="J60" s="174">
        <v>0</v>
      </c>
      <c r="K60" s="175">
        <v>154677.28104303798</v>
      </c>
      <c r="L60" s="176">
        <v>170730.56165229512</v>
      </c>
      <c r="M60" s="174">
        <v>-213505</v>
      </c>
      <c r="N60" s="175">
        <v>-42774.438347704876</v>
      </c>
      <c r="O60" s="176">
        <v>0</v>
      </c>
      <c r="P60" s="174">
        <v>-125286</v>
      </c>
      <c r="Q60" s="175">
        <v>-125286</v>
      </c>
      <c r="R60" s="116"/>
      <c r="S60" s="104" t="e">
        <v>#REF!</v>
      </c>
    </row>
    <row r="61" spans="1:19" outlineLevel="1">
      <c r="A61" s="110"/>
      <c r="C61" s="347"/>
      <c r="D61" s="348"/>
      <c r="E61" s="349"/>
      <c r="F61" s="318"/>
      <c r="G61" s="319"/>
      <c r="H61" s="171">
        <v>0</v>
      </c>
      <c r="I61" s="172">
        <v>0</v>
      </c>
      <c r="J61" s="170"/>
      <c r="K61" s="171">
        <v>0</v>
      </c>
      <c r="L61" s="172">
        <v>0</v>
      </c>
      <c r="M61" s="170"/>
      <c r="N61" s="171">
        <v>0</v>
      </c>
      <c r="O61" s="172">
        <v>0</v>
      </c>
      <c r="P61" s="170"/>
      <c r="Q61" s="171">
        <v>0</v>
      </c>
      <c r="S61" s="104" t="b">
        <v>1</v>
      </c>
    </row>
    <row r="62" spans="1:19" outlineLevel="1">
      <c r="A62" s="355"/>
      <c r="C62" s="347"/>
      <c r="D62" s="348"/>
      <c r="E62" s="349"/>
      <c r="F62" s="318"/>
      <c r="G62" s="319"/>
      <c r="H62" s="171">
        <v>0</v>
      </c>
      <c r="I62" s="172">
        <v>0</v>
      </c>
      <c r="J62" s="170"/>
      <c r="K62" s="171">
        <v>0</v>
      </c>
      <c r="L62" s="172">
        <v>0</v>
      </c>
      <c r="M62" s="170"/>
      <c r="N62" s="171">
        <v>0</v>
      </c>
      <c r="O62" s="172">
        <v>0</v>
      </c>
      <c r="P62" s="170"/>
      <c r="Q62" s="171">
        <v>0</v>
      </c>
      <c r="S62" s="104" t="b">
        <v>0</v>
      </c>
    </row>
    <row r="63" spans="1:19" outlineLevel="1">
      <c r="A63" s="110"/>
      <c r="C63" s="347"/>
      <c r="D63" s="348"/>
      <c r="E63" s="349"/>
      <c r="F63" s="318"/>
      <c r="G63" s="319"/>
      <c r="H63" s="171">
        <v>0</v>
      </c>
      <c r="I63" s="172">
        <v>0</v>
      </c>
      <c r="J63" s="170"/>
      <c r="K63" s="171">
        <v>0</v>
      </c>
      <c r="L63" s="172">
        <v>0</v>
      </c>
      <c r="M63" s="170"/>
      <c r="N63" s="171">
        <v>0</v>
      </c>
      <c r="O63" s="172">
        <v>0</v>
      </c>
      <c r="P63" s="170"/>
      <c r="Q63" s="171">
        <v>0</v>
      </c>
      <c r="S63" s="104" t="b">
        <v>1</v>
      </c>
    </row>
    <row r="64" spans="1:19" outlineLevel="1">
      <c r="A64" s="110"/>
      <c r="C64" s="347"/>
      <c r="D64" s="348"/>
      <c r="E64" s="349"/>
      <c r="F64" s="318"/>
      <c r="G64" s="319"/>
      <c r="H64" s="171">
        <v>0</v>
      </c>
      <c r="I64" s="172">
        <v>0</v>
      </c>
      <c r="J64" s="170"/>
      <c r="K64" s="171">
        <v>0</v>
      </c>
      <c r="L64" s="172">
        <v>-962.02800000000002</v>
      </c>
      <c r="M64" s="170">
        <v>-217022</v>
      </c>
      <c r="N64" s="171">
        <v>-217984.02799999999</v>
      </c>
      <c r="O64" s="172">
        <v>0</v>
      </c>
      <c r="P64" s="170">
        <v>-129768</v>
      </c>
      <c r="Q64" s="171">
        <v>-129768</v>
      </c>
      <c r="S64" s="104" t="b">
        <v>1</v>
      </c>
    </row>
    <row r="65" spans="1:19" outlineLevel="1">
      <c r="A65" s="356"/>
      <c r="B65" s="126"/>
      <c r="C65" s="347"/>
      <c r="D65" s="348"/>
      <c r="E65" s="349"/>
      <c r="F65" s="318"/>
      <c r="G65" s="319"/>
      <c r="H65" s="171">
        <v>0</v>
      </c>
      <c r="I65" s="172">
        <v>0</v>
      </c>
      <c r="J65" s="170"/>
      <c r="K65" s="171">
        <v>0</v>
      </c>
      <c r="L65" s="172">
        <v>0</v>
      </c>
      <c r="M65" s="170"/>
      <c r="N65" s="171">
        <v>0</v>
      </c>
      <c r="O65" s="172">
        <v>0</v>
      </c>
      <c r="P65" s="170"/>
      <c r="Q65" s="171">
        <v>0</v>
      </c>
      <c r="S65" s="104" t="b">
        <v>0</v>
      </c>
    </row>
    <row r="66" spans="1:19" outlineLevel="1">
      <c r="A66" s="110"/>
      <c r="C66" s="347"/>
      <c r="D66" s="348"/>
      <c r="E66" s="349"/>
      <c r="F66" s="318"/>
      <c r="G66" s="319"/>
      <c r="H66" s="171">
        <v>11702.627247</v>
      </c>
      <c r="I66" s="172">
        <v>9940.6256259999991</v>
      </c>
      <c r="J66" s="170"/>
      <c r="K66" s="171">
        <v>9940.6256259999991</v>
      </c>
      <c r="L66" s="172">
        <v>20119.456910000001</v>
      </c>
      <c r="M66" s="170"/>
      <c r="N66" s="171">
        <v>20119.456910000001</v>
      </c>
      <c r="O66" s="172">
        <v>0</v>
      </c>
      <c r="P66" s="170"/>
      <c r="Q66" s="171">
        <v>0</v>
      </c>
      <c r="S66" s="104" t="b">
        <v>1</v>
      </c>
    </row>
    <row r="67" spans="1:19" outlineLevel="1">
      <c r="A67" s="110"/>
      <c r="C67" s="347"/>
      <c r="D67" s="348"/>
      <c r="E67" s="349"/>
      <c r="F67" s="318"/>
      <c r="G67" s="319"/>
      <c r="H67" s="171">
        <v>0</v>
      </c>
      <c r="I67" s="172">
        <v>0</v>
      </c>
      <c r="J67" s="170"/>
      <c r="K67" s="171">
        <v>0</v>
      </c>
      <c r="L67" s="172">
        <v>0</v>
      </c>
      <c r="M67" s="170"/>
      <c r="N67" s="171">
        <v>0</v>
      </c>
      <c r="O67" s="172">
        <v>0</v>
      </c>
      <c r="P67" s="170"/>
      <c r="Q67" s="171">
        <v>0</v>
      </c>
      <c r="S67" s="104" t="b">
        <v>1</v>
      </c>
    </row>
    <row r="68" spans="1:19" outlineLevel="1">
      <c r="A68" s="110"/>
      <c r="C68" s="347"/>
      <c r="D68" s="348"/>
      <c r="E68" s="349"/>
      <c r="F68" s="318"/>
      <c r="G68" s="319"/>
      <c r="H68" s="171">
        <v>-11.496736</v>
      </c>
      <c r="I68" s="172">
        <v>0</v>
      </c>
      <c r="J68" s="170"/>
      <c r="K68" s="171">
        <v>0</v>
      </c>
      <c r="L68" s="172">
        <v>0</v>
      </c>
      <c r="M68" s="170"/>
      <c r="N68" s="171">
        <v>0</v>
      </c>
      <c r="O68" s="172">
        <v>0</v>
      </c>
      <c r="P68" s="170"/>
      <c r="Q68" s="171">
        <v>0</v>
      </c>
      <c r="S68" s="104" t="b">
        <v>1</v>
      </c>
    </row>
    <row r="69" spans="1:19" outlineLevel="1">
      <c r="A69" s="110"/>
      <c r="C69" s="347"/>
      <c r="D69" s="348"/>
      <c r="E69" s="349"/>
      <c r="F69" s="318"/>
      <c r="G69" s="319"/>
      <c r="H69" s="171">
        <v>0</v>
      </c>
      <c r="I69" s="172">
        <v>0</v>
      </c>
      <c r="J69" s="170"/>
      <c r="K69" s="171">
        <v>0</v>
      </c>
      <c r="L69" s="172">
        <v>0</v>
      </c>
      <c r="M69" s="170"/>
      <c r="N69" s="171">
        <v>0</v>
      </c>
      <c r="O69" s="172">
        <v>0</v>
      </c>
      <c r="P69" s="170">
        <v>-20</v>
      </c>
      <c r="Q69" s="171">
        <v>-20</v>
      </c>
      <c r="S69" s="104" t="b">
        <v>1</v>
      </c>
    </row>
    <row r="70" spans="1:19" outlineLevel="1">
      <c r="A70" s="110"/>
      <c r="C70" s="347"/>
      <c r="D70" s="348"/>
      <c r="E70" s="349"/>
      <c r="F70" s="318"/>
      <c r="G70" s="319"/>
      <c r="H70" s="171">
        <v>0</v>
      </c>
      <c r="I70" s="172">
        <v>0</v>
      </c>
      <c r="J70" s="170"/>
      <c r="K70" s="171">
        <v>0</v>
      </c>
      <c r="L70" s="172">
        <v>0</v>
      </c>
      <c r="M70" s="170">
        <v>217022</v>
      </c>
      <c r="N70" s="171">
        <v>217022</v>
      </c>
      <c r="O70" s="172">
        <v>0</v>
      </c>
      <c r="P70" s="170">
        <v>129768</v>
      </c>
      <c r="Q70" s="171">
        <v>129768</v>
      </c>
      <c r="R70" s="117"/>
      <c r="S70" s="104" t="b">
        <v>1</v>
      </c>
    </row>
    <row r="71" spans="1:19" s="114" customFormat="1">
      <c r="C71" s="320"/>
      <c r="D71" s="321"/>
      <c r="E71" s="322"/>
      <c r="F71" s="323"/>
      <c r="G71" s="324"/>
      <c r="H71" s="175">
        <v>-11.496736</v>
      </c>
      <c r="I71" s="176">
        <v>0</v>
      </c>
      <c r="J71" s="174">
        <v>0</v>
      </c>
      <c r="K71" s="175">
        <v>0</v>
      </c>
      <c r="L71" s="176">
        <v>0</v>
      </c>
      <c r="M71" s="174">
        <v>217022</v>
      </c>
      <c r="N71" s="175">
        <v>217022</v>
      </c>
      <c r="O71" s="176">
        <v>0</v>
      </c>
      <c r="P71" s="174">
        <v>129748</v>
      </c>
      <c r="Q71" s="175">
        <v>129748</v>
      </c>
      <c r="R71" s="119"/>
      <c r="S71" s="104" t="e">
        <v>#REF!</v>
      </c>
    </row>
    <row r="72" spans="1:19" outlineLevel="1">
      <c r="C72" s="347"/>
      <c r="D72" s="348"/>
      <c r="E72" s="349"/>
      <c r="F72" s="318"/>
      <c r="G72" s="319"/>
      <c r="H72" s="171">
        <v>335152.14522040001</v>
      </c>
      <c r="I72" s="172">
        <v>190293.77088500001</v>
      </c>
      <c r="J72" s="170"/>
      <c r="K72" s="171">
        <v>190293.77088500001</v>
      </c>
      <c r="L72" s="172">
        <v>269572.70738099999</v>
      </c>
      <c r="M72" s="170"/>
      <c r="N72" s="171">
        <v>269572.70738099999</v>
      </c>
      <c r="O72" s="172">
        <v>0</v>
      </c>
      <c r="P72" s="170"/>
      <c r="Q72" s="171">
        <v>0</v>
      </c>
      <c r="S72" s="104" t="b">
        <v>1</v>
      </c>
    </row>
    <row r="73" spans="1:19" outlineLevel="1">
      <c r="C73" s="347"/>
      <c r="D73" s="348"/>
      <c r="E73" s="349"/>
      <c r="F73" s="318"/>
      <c r="G73" s="319"/>
      <c r="H73" s="171">
        <v>0</v>
      </c>
      <c r="I73" s="172">
        <v>0</v>
      </c>
      <c r="J73" s="170"/>
      <c r="K73" s="171">
        <v>0</v>
      </c>
      <c r="L73" s="172">
        <v>0</v>
      </c>
      <c r="M73" s="170"/>
      <c r="N73" s="171">
        <v>0</v>
      </c>
      <c r="O73" s="172">
        <v>0</v>
      </c>
      <c r="P73" s="170"/>
      <c r="Q73" s="171">
        <v>0</v>
      </c>
      <c r="S73" s="104" t="b">
        <v>1</v>
      </c>
    </row>
    <row r="74" spans="1:19" outlineLevel="1">
      <c r="C74" s="347"/>
      <c r="D74" s="348"/>
      <c r="E74" s="349"/>
      <c r="F74" s="318"/>
      <c r="G74" s="319"/>
      <c r="H74" s="171">
        <v>-36800.255184000001</v>
      </c>
      <c r="I74" s="172">
        <v>-32297.732928000001</v>
      </c>
      <c r="J74" s="170"/>
      <c r="K74" s="171">
        <v>-32297.732928000001</v>
      </c>
      <c r="L74" s="172">
        <v>-33263.645016000002</v>
      </c>
      <c r="M74" s="170"/>
      <c r="N74" s="171">
        <v>-33263.645016000002</v>
      </c>
      <c r="O74" s="172">
        <v>0</v>
      </c>
      <c r="P74" s="170"/>
      <c r="Q74" s="171">
        <v>0</v>
      </c>
      <c r="S74" s="104" t="b">
        <v>1</v>
      </c>
    </row>
    <row r="75" spans="1:19" s="114" customFormat="1">
      <c r="C75" s="320"/>
      <c r="D75" s="321"/>
      <c r="E75" s="322"/>
      <c r="F75" s="323"/>
      <c r="G75" s="324"/>
      <c r="H75" s="175">
        <v>298351.8900364</v>
      </c>
      <c r="I75" s="176">
        <v>157996.03795699999</v>
      </c>
      <c r="J75" s="174">
        <v>0</v>
      </c>
      <c r="K75" s="175">
        <v>157996.03795699999</v>
      </c>
      <c r="L75" s="176">
        <v>236309.06236499999</v>
      </c>
      <c r="M75" s="174">
        <v>0</v>
      </c>
      <c r="N75" s="175">
        <v>236309.06236499999</v>
      </c>
      <c r="O75" s="176">
        <v>0</v>
      </c>
      <c r="P75" s="174">
        <v>0</v>
      </c>
      <c r="Q75" s="175">
        <v>0</v>
      </c>
      <c r="R75" s="116"/>
      <c r="S75" s="104" t="e">
        <v>#REF!</v>
      </c>
    </row>
    <row r="76" spans="1:19" outlineLevel="1">
      <c r="C76" s="347"/>
      <c r="D76" s="348"/>
      <c r="E76" s="349"/>
      <c r="F76" s="318"/>
      <c r="G76" s="319"/>
      <c r="H76" s="171">
        <v>14632</v>
      </c>
      <c r="I76" s="172">
        <v>0</v>
      </c>
      <c r="J76" s="170"/>
      <c r="K76" s="171">
        <v>0</v>
      </c>
      <c r="L76" s="172">
        <v>18625</v>
      </c>
      <c r="M76" s="170"/>
      <c r="N76" s="171">
        <v>18625</v>
      </c>
      <c r="O76" s="172">
        <v>0</v>
      </c>
      <c r="P76" s="170"/>
      <c r="Q76" s="171">
        <v>0</v>
      </c>
      <c r="S76" s="104" t="b">
        <v>1</v>
      </c>
    </row>
    <row r="77" spans="1:19" outlineLevel="1">
      <c r="C77" s="347"/>
      <c r="D77" s="348"/>
      <c r="E77" s="349"/>
      <c r="F77" s="318"/>
      <c r="G77" s="319"/>
      <c r="H77" s="171">
        <v>0</v>
      </c>
      <c r="I77" s="172">
        <v>0</v>
      </c>
      <c r="J77" s="170"/>
      <c r="K77" s="171">
        <v>0</v>
      </c>
      <c r="L77" s="172">
        <v>0</v>
      </c>
      <c r="M77" s="170"/>
      <c r="N77" s="171">
        <v>0</v>
      </c>
      <c r="O77" s="172">
        <v>0</v>
      </c>
      <c r="P77" s="170"/>
      <c r="Q77" s="171">
        <v>0</v>
      </c>
      <c r="S77" s="104" t="b">
        <v>1</v>
      </c>
    </row>
    <row r="78" spans="1:19" outlineLevel="1">
      <c r="C78" s="347"/>
      <c r="D78" s="348"/>
      <c r="E78" s="349"/>
      <c r="F78" s="318"/>
      <c r="G78" s="319"/>
      <c r="H78" s="171">
        <v>0</v>
      </c>
      <c r="I78" s="172">
        <v>0</v>
      </c>
      <c r="J78" s="170"/>
      <c r="K78" s="171">
        <v>0</v>
      </c>
      <c r="L78" s="172">
        <v>0</v>
      </c>
      <c r="M78" s="170"/>
      <c r="N78" s="171">
        <v>0</v>
      </c>
      <c r="O78" s="172">
        <v>0</v>
      </c>
      <c r="P78" s="170"/>
      <c r="Q78" s="171">
        <v>0</v>
      </c>
      <c r="S78" s="104" t="b">
        <v>1</v>
      </c>
    </row>
    <row r="79" spans="1:19" s="114" customFormat="1">
      <c r="C79" s="320"/>
      <c r="D79" s="321"/>
      <c r="E79" s="322"/>
      <c r="F79" s="323"/>
      <c r="G79" s="324"/>
      <c r="H79" s="175">
        <v>14632</v>
      </c>
      <c r="I79" s="176">
        <v>0</v>
      </c>
      <c r="J79" s="174">
        <v>0</v>
      </c>
      <c r="K79" s="175">
        <v>0</v>
      </c>
      <c r="L79" s="176">
        <v>18625</v>
      </c>
      <c r="M79" s="174">
        <v>0</v>
      </c>
      <c r="N79" s="175">
        <v>18625</v>
      </c>
      <c r="O79" s="176">
        <v>0</v>
      </c>
      <c r="P79" s="174">
        <v>0</v>
      </c>
      <c r="Q79" s="175">
        <v>0</v>
      </c>
      <c r="R79" s="116"/>
      <c r="S79" s="104" t="e">
        <v>#REF!</v>
      </c>
    </row>
    <row r="80" spans="1:19" s="114" customFormat="1">
      <c r="B80" s="115"/>
      <c r="C80" s="320"/>
      <c r="D80" s="321"/>
      <c r="E80" s="322"/>
      <c r="F80" s="323"/>
      <c r="G80" s="324"/>
      <c r="H80" s="175">
        <v>457435.79361895809</v>
      </c>
      <c r="I80" s="176">
        <v>312673.31900003797</v>
      </c>
      <c r="J80" s="174">
        <v>0</v>
      </c>
      <c r="K80" s="175">
        <v>312673.31900003797</v>
      </c>
      <c r="L80" s="176">
        <v>425664.62401729508</v>
      </c>
      <c r="M80" s="174">
        <v>3517</v>
      </c>
      <c r="N80" s="175">
        <v>429181.62401729508</v>
      </c>
      <c r="O80" s="176">
        <v>0</v>
      </c>
      <c r="P80" s="174">
        <v>4462</v>
      </c>
      <c r="Q80" s="175">
        <v>4462</v>
      </c>
      <c r="R80" s="116"/>
      <c r="S80" s="104" t="e">
        <v>#REF!</v>
      </c>
    </row>
    <row r="81" spans="1:19">
      <c r="B81" s="114"/>
      <c r="C81" s="347"/>
      <c r="D81" s="348"/>
      <c r="E81" s="349"/>
      <c r="F81" s="318"/>
      <c r="G81" s="319"/>
      <c r="H81" s="171"/>
      <c r="I81" s="172"/>
      <c r="J81" s="170"/>
      <c r="K81" s="171"/>
      <c r="L81" s="172"/>
      <c r="M81" s="170"/>
      <c r="N81" s="171"/>
      <c r="O81" s="172"/>
      <c r="P81" s="170"/>
      <c r="Q81" s="171"/>
      <c r="S81" s="104" t="e">
        <v>#REF!</v>
      </c>
    </row>
    <row r="82" spans="1:19" outlineLevel="1">
      <c r="C82" s="347"/>
      <c r="D82" s="348"/>
      <c r="E82" s="349"/>
      <c r="F82" s="318"/>
      <c r="G82" s="319"/>
      <c r="H82" s="171">
        <v>0</v>
      </c>
      <c r="I82" s="172">
        <v>0</v>
      </c>
      <c r="J82" s="170"/>
      <c r="K82" s="171">
        <v>0</v>
      </c>
      <c r="L82" s="172">
        <v>0</v>
      </c>
      <c r="M82" s="170"/>
      <c r="N82" s="171">
        <v>0</v>
      </c>
      <c r="O82" s="172">
        <v>0</v>
      </c>
      <c r="P82" s="170"/>
      <c r="Q82" s="171">
        <v>0</v>
      </c>
      <c r="S82" s="104" t="b">
        <v>1</v>
      </c>
    </row>
    <row r="83" spans="1:19" outlineLevel="1">
      <c r="C83" s="347"/>
      <c r="D83" s="348"/>
      <c r="E83" s="349"/>
      <c r="F83" s="318"/>
      <c r="G83" s="319"/>
      <c r="H83" s="171">
        <v>747.48883999999998</v>
      </c>
      <c r="I83" s="172">
        <v>19</v>
      </c>
      <c r="J83" s="170"/>
      <c r="K83" s="171">
        <v>19</v>
      </c>
      <c r="L83" s="172">
        <v>0</v>
      </c>
      <c r="M83" s="170"/>
      <c r="N83" s="171">
        <v>0</v>
      </c>
      <c r="O83" s="172">
        <v>0</v>
      </c>
      <c r="P83" s="170"/>
      <c r="Q83" s="171">
        <v>0</v>
      </c>
      <c r="S83" s="104" t="b">
        <v>1</v>
      </c>
    </row>
    <row r="84" spans="1:19" outlineLevel="1">
      <c r="A84" s="155"/>
      <c r="B84" s="155"/>
      <c r="C84" s="325"/>
      <c r="D84" s="326"/>
      <c r="E84" s="327"/>
      <c r="F84" s="318"/>
      <c r="G84" s="319"/>
      <c r="H84" s="171">
        <v>636.65814087731997</v>
      </c>
      <c r="I84" s="172"/>
      <c r="J84" s="170"/>
      <c r="K84" s="171"/>
      <c r="L84" s="172"/>
      <c r="M84" s="170"/>
      <c r="N84" s="171"/>
      <c r="O84" s="172"/>
      <c r="P84" s="170"/>
      <c r="Q84" s="171"/>
      <c r="S84" s="104" t="b">
        <v>1</v>
      </c>
    </row>
    <row r="85" spans="1:19" outlineLevel="1">
      <c r="C85" s="347"/>
      <c r="D85" s="348"/>
      <c r="E85" s="349"/>
      <c r="F85" s="318"/>
      <c r="G85" s="319"/>
      <c r="H85" s="171">
        <v>2.8741840000000001</v>
      </c>
      <c r="I85" s="172">
        <v>0</v>
      </c>
      <c r="J85" s="170"/>
      <c r="K85" s="171">
        <v>0</v>
      </c>
      <c r="L85" s="172">
        <v>0</v>
      </c>
      <c r="M85" s="170"/>
      <c r="N85" s="171">
        <v>0</v>
      </c>
      <c r="O85" s="172">
        <v>0</v>
      </c>
      <c r="P85" s="170"/>
      <c r="Q85" s="171">
        <v>0</v>
      </c>
      <c r="S85" s="104" t="b">
        <v>1</v>
      </c>
    </row>
    <row r="86" spans="1:19" outlineLevel="1">
      <c r="C86" s="347"/>
      <c r="D86" s="348"/>
      <c r="E86" s="349"/>
      <c r="F86" s="318"/>
      <c r="G86" s="319"/>
      <c r="H86" s="171">
        <v>703647.09834004298</v>
      </c>
      <c r="I86" s="172">
        <v>176119.48577699999</v>
      </c>
      <c r="J86" s="170"/>
      <c r="K86" s="171">
        <v>176119.48577699999</v>
      </c>
      <c r="L86" s="172">
        <v>23675.38</v>
      </c>
      <c r="M86" s="170"/>
      <c r="N86" s="171">
        <v>23675.38</v>
      </c>
      <c r="O86" s="172">
        <v>0</v>
      </c>
      <c r="P86" s="170"/>
      <c r="Q86" s="171">
        <v>0</v>
      </c>
      <c r="S86" s="104" t="b">
        <v>1</v>
      </c>
    </row>
    <row r="87" spans="1:19" outlineLevel="1">
      <c r="C87" s="347"/>
      <c r="D87" s="348"/>
      <c r="E87" s="349"/>
      <c r="F87" s="318"/>
      <c r="G87" s="319"/>
      <c r="H87" s="171">
        <v>14251.547596</v>
      </c>
      <c r="I87" s="172">
        <v>5965.893728</v>
      </c>
      <c r="J87" s="170"/>
      <c r="K87" s="171">
        <v>5965.893728</v>
      </c>
      <c r="L87" s="172">
        <v>6865.0112440000003</v>
      </c>
      <c r="M87" s="170"/>
      <c r="N87" s="171">
        <v>6865.0112440000003</v>
      </c>
      <c r="O87" s="172">
        <v>0</v>
      </c>
      <c r="P87" s="170"/>
      <c r="Q87" s="171">
        <v>0</v>
      </c>
      <c r="S87" s="104" t="b">
        <v>1</v>
      </c>
    </row>
    <row r="88" spans="1:19" outlineLevel="1">
      <c r="C88" s="347"/>
      <c r="D88" s="348"/>
      <c r="E88" s="349"/>
      <c r="F88" s="318"/>
      <c r="G88" s="319"/>
      <c r="H88" s="171">
        <v>7022.764615</v>
      </c>
      <c r="I88" s="172">
        <v>3776.40942</v>
      </c>
      <c r="J88" s="170"/>
      <c r="K88" s="171">
        <v>3776.40942</v>
      </c>
      <c r="L88" s="172">
        <v>3201.9553780000001</v>
      </c>
      <c r="M88" s="170"/>
      <c r="N88" s="171">
        <v>3201.9553780000001</v>
      </c>
      <c r="O88" s="172">
        <v>0</v>
      </c>
      <c r="P88" s="170"/>
      <c r="Q88" s="171">
        <v>0</v>
      </c>
      <c r="S88" s="104" t="b">
        <v>1</v>
      </c>
    </row>
    <row r="89" spans="1:19" outlineLevel="1">
      <c r="C89" s="347"/>
      <c r="D89" s="348"/>
      <c r="E89" s="349"/>
      <c r="F89" s="318"/>
      <c r="G89" s="319"/>
      <c r="H89" s="171">
        <v>0</v>
      </c>
      <c r="I89" s="172">
        <v>0</v>
      </c>
      <c r="J89" s="170"/>
      <c r="K89" s="171">
        <v>0</v>
      </c>
      <c r="L89" s="172">
        <v>0</v>
      </c>
      <c r="M89" s="170"/>
      <c r="N89" s="171">
        <v>0</v>
      </c>
      <c r="O89" s="172">
        <v>0</v>
      </c>
      <c r="P89" s="170"/>
      <c r="Q89" s="171">
        <v>0</v>
      </c>
      <c r="S89" s="104" t="b">
        <v>1</v>
      </c>
    </row>
    <row r="90" spans="1:19" outlineLevel="1">
      <c r="C90" s="347"/>
      <c r="D90" s="348"/>
      <c r="E90" s="349"/>
      <c r="F90" s="318"/>
      <c r="G90" s="319"/>
      <c r="H90" s="171">
        <v>134171.268637</v>
      </c>
      <c r="I90" s="172">
        <v>68766.283748000002</v>
      </c>
      <c r="J90" s="170"/>
      <c r="K90" s="171">
        <v>68766.283748000002</v>
      </c>
      <c r="L90" s="172">
        <v>21240.321415999999</v>
      </c>
      <c r="M90" s="170"/>
      <c r="N90" s="171">
        <v>21240.321415999999</v>
      </c>
      <c r="O90" s="172">
        <v>0</v>
      </c>
      <c r="P90" s="170"/>
      <c r="Q90" s="171">
        <v>0</v>
      </c>
      <c r="S90" s="104" t="b">
        <v>1</v>
      </c>
    </row>
    <row r="91" spans="1:19" outlineLevel="1">
      <c r="C91" s="347"/>
      <c r="D91" s="348"/>
      <c r="E91" s="349"/>
      <c r="F91" s="318"/>
      <c r="G91" s="319"/>
      <c r="H91" s="171">
        <v>24531.098798499999</v>
      </c>
      <c r="I91" s="172">
        <v>24073.363357499999</v>
      </c>
      <c r="J91" s="170"/>
      <c r="K91" s="171">
        <v>24073.363357499999</v>
      </c>
      <c r="L91" s="172">
        <v>19847.998724000001</v>
      </c>
      <c r="M91" s="170"/>
      <c r="N91" s="171">
        <v>19847.998724000001</v>
      </c>
      <c r="O91" s="172">
        <v>0</v>
      </c>
      <c r="P91" s="170"/>
      <c r="Q91" s="171">
        <v>0</v>
      </c>
      <c r="S91" s="104" t="b">
        <v>1</v>
      </c>
    </row>
    <row r="92" spans="1:19" outlineLevel="1">
      <c r="C92" s="347"/>
      <c r="D92" s="348"/>
      <c r="E92" s="349"/>
      <c r="F92" s="318"/>
      <c r="G92" s="319"/>
      <c r="H92" s="171">
        <v>20245.320896204299</v>
      </c>
      <c r="I92" s="172">
        <v>12204.189898520101</v>
      </c>
      <c r="J92" s="170"/>
      <c r="K92" s="171">
        <v>12204.189898520101</v>
      </c>
      <c r="L92" s="172">
        <v>12306.265982499999</v>
      </c>
      <c r="M92" s="170"/>
      <c r="N92" s="171">
        <v>12306.265982499999</v>
      </c>
      <c r="O92" s="172">
        <v>0</v>
      </c>
      <c r="P92" s="170"/>
      <c r="Q92" s="171">
        <v>0</v>
      </c>
      <c r="S92" s="104" t="b">
        <v>1</v>
      </c>
    </row>
    <row r="93" spans="1:19" outlineLevel="1">
      <c r="C93" s="347"/>
      <c r="D93" s="348"/>
      <c r="E93" s="349"/>
      <c r="F93" s="318"/>
      <c r="G93" s="319"/>
      <c r="H93" s="171">
        <v>2867479.9223671001</v>
      </c>
      <c r="I93" s="172">
        <v>3048757.25336284</v>
      </c>
      <c r="J93" s="170"/>
      <c r="K93" s="171">
        <v>3048757.25336284</v>
      </c>
      <c r="L93" s="172">
        <v>3190285.05845124</v>
      </c>
      <c r="M93" s="170"/>
      <c r="N93" s="171">
        <v>3190285.05845124</v>
      </c>
      <c r="O93" s="172">
        <v>0</v>
      </c>
      <c r="P93" s="170"/>
      <c r="Q93" s="171">
        <v>0</v>
      </c>
      <c r="S93" s="104" t="b">
        <v>1</v>
      </c>
    </row>
    <row r="94" spans="1:19" outlineLevel="1">
      <c r="C94" s="347"/>
      <c r="D94" s="348"/>
      <c r="E94" s="349"/>
      <c r="F94" s="318"/>
      <c r="G94" s="319"/>
      <c r="H94" s="171">
        <v>0</v>
      </c>
      <c r="I94" s="172">
        <v>0</v>
      </c>
      <c r="J94" s="170"/>
      <c r="K94" s="171">
        <v>0</v>
      </c>
      <c r="L94" s="172">
        <v>0</v>
      </c>
      <c r="M94" s="170"/>
      <c r="N94" s="171">
        <v>0</v>
      </c>
      <c r="O94" s="172">
        <v>0</v>
      </c>
      <c r="P94" s="170"/>
      <c r="Q94" s="171">
        <v>0</v>
      </c>
      <c r="S94" s="104" t="b">
        <v>1</v>
      </c>
    </row>
    <row r="95" spans="1:19" outlineLevel="1">
      <c r="C95" s="347"/>
      <c r="D95" s="348"/>
      <c r="E95" s="349"/>
      <c r="F95" s="318"/>
      <c r="G95" s="319"/>
      <c r="H95" s="171">
        <v>0</v>
      </c>
      <c r="I95" s="172">
        <v>0</v>
      </c>
      <c r="J95" s="170"/>
      <c r="K95" s="171">
        <v>0</v>
      </c>
      <c r="L95" s="172">
        <v>0</v>
      </c>
      <c r="M95" s="170"/>
      <c r="N95" s="171">
        <v>0</v>
      </c>
      <c r="O95" s="172">
        <v>0</v>
      </c>
      <c r="P95" s="170"/>
      <c r="Q95" s="171">
        <v>0</v>
      </c>
      <c r="S95" s="104" t="b">
        <v>1</v>
      </c>
    </row>
    <row r="96" spans="1:19" outlineLevel="1">
      <c r="C96" s="347"/>
      <c r="D96" s="348"/>
      <c r="E96" s="349"/>
      <c r="F96" s="318"/>
      <c r="G96" s="319"/>
      <c r="H96" s="171">
        <v>0</v>
      </c>
      <c r="I96" s="172">
        <v>0</v>
      </c>
      <c r="J96" s="170"/>
      <c r="K96" s="171">
        <v>0</v>
      </c>
      <c r="L96" s="172">
        <v>0</v>
      </c>
      <c r="M96" s="170"/>
      <c r="N96" s="171">
        <v>0</v>
      </c>
      <c r="O96" s="172">
        <v>0</v>
      </c>
      <c r="P96" s="170"/>
      <c r="Q96" s="171">
        <v>0</v>
      </c>
      <c r="S96" s="104" t="b">
        <v>1</v>
      </c>
    </row>
    <row r="97" spans="2:19" outlineLevel="1">
      <c r="C97" s="347"/>
      <c r="D97" s="348"/>
      <c r="E97" s="349"/>
      <c r="F97" s="318"/>
      <c r="G97" s="319"/>
      <c r="H97" s="171">
        <v>0</v>
      </c>
      <c r="I97" s="172">
        <v>0</v>
      </c>
      <c r="J97" s="170"/>
      <c r="K97" s="171">
        <v>0</v>
      </c>
      <c r="L97" s="172">
        <v>-153.354345</v>
      </c>
      <c r="M97" s="170"/>
      <c r="N97" s="171">
        <v>-153.354345</v>
      </c>
      <c r="O97" s="172">
        <v>0</v>
      </c>
      <c r="P97" s="170"/>
      <c r="Q97" s="171">
        <v>0</v>
      </c>
      <c r="S97" s="104" t="b">
        <v>1</v>
      </c>
    </row>
    <row r="98" spans="2:19" outlineLevel="1">
      <c r="C98" s="347"/>
      <c r="D98" s="348"/>
      <c r="E98" s="349"/>
      <c r="F98" s="318"/>
      <c r="G98" s="319"/>
      <c r="H98" s="171">
        <v>-2009.764615</v>
      </c>
      <c r="I98" s="172">
        <v>-2151.40942</v>
      </c>
      <c r="J98" s="170"/>
      <c r="K98" s="171">
        <v>-2151.40942</v>
      </c>
      <c r="L98" s="172">
        <v>-3180.9553780000001</v>
      </c>
      <c r="M98" s="170"/>
      <c r="N98" s="171">
        <v>-3180.9553780000001</v>
      </c>
      <c r="O98" s="172">
        <v>0</v>
      </c>
      <c r="P98" s="170"/>
      <c r="Q98" s="171">
        <v>0</v>
      </c>
      <c r="S98" s="104" t="b">
        <v>1</v>
      </c>
    </row>
    <row r="99" spans="2:19" outlineLevel="1">
      <c r="C99" s="347"/>
      <c r="D99" s="348"/>
      <c r="E99" s="349"/>
      <c r="F99" s="318"/>
      <c r="G99" s="319"/>
      <c r="H99" s="171">
        <v>-182290.81987469699</v>
      </c>
      <c r="I99" s="172">
        <v>-190065.88735616099</v>
      </c>
      <c r="J99" s="170"/>
      <c r="K99" s="171">
        <v>-190065.88735616099</v>
      </c>
      <c r="L99" s="172">
        <v>-190154.15464079901</v>
      </c>
      <c r="M99" s="170"/>
      <c r="N99" s="171">
        <v>-190154.15464079901</v>
      </c>
      <c r="O99" s="172">
        <v>0</v>
      </c>
      <c r="P99" s="170"/>
      <c r="Q99" s="171">
        <v>0</v>
      </c>
      <c r="S99" s="104" t="b">
        <v>1</v>
      </c>
    </row>
    <row r="100" spans="2:19" outlineLevel="1">
      <c r="C100" s="347"/>
      <c r="D100" s="348"/>
      <c r="E100" s="349"/>
      <c r="F100" s="318"/>
      <c r="G100" s="319"/>
      <c r="H100" s="171">
        <v>0</v>
      </c>
      <c r="I100" s="172">
        <v>0</v>
      </c>
      <c r="J100" s="170"/>
      <c r="K100" s="171">
        <v>0</v>
      </c>
      <c r="L100" s="172">
        <v>0</v>
      </c>
      <c r="M100" s="170">
        <v>-105071</v>
      </c>
      <c r="N100" s="171">
        <v>-105071</v>
      </c>
      <c r="O100" s="172">
        <v>0</v>
      </c>
      <c r="P100" s="170">
        <v>-24137</v>
      </c>
      <c r="Q100" s="171">
        <v>-24137</v>
      </c>
      <c r="S100" s="104" t="b">
        <v>1</v>
      </c>
    </row>
    <row r="101" spans="2:19" s="114" customFormat="1">
      <c r="B101" s="115"/>
      <c r="C101" s="320"/>
      <c r="D101" s="321"/>
      <c r="E101" s="322"/>
      <c r="F101" s="323"/>
      <c r="G101" s="324"/>
      <c r="H101" s="175">
        <v>3588435.4579250277</v>
      </c>
      <c r="I101" s="176">
        <v>3147464.5825156993</v>
      </c>
      <c r="J101" s="174">
        <v>0</v>
      </c>
      <c r="K101" s="175">
        <v>3147464.5825156993</v>
      </c>
      <c r="L101" s="176">
        <v>3083933.5268319412</v>
      </c>
      <c r="M101" s="174">
        <v>-105071</v>
      </c>
      <c r="N101" s="175">
        <v>2978862.5268319412</v>
      </c>
      <c r="O101" s="176">
        <v>0</v>
      </c>
      <c r="P101" s="174">
        <v>-24137</v>
      </c>
      <c r="Q101" s="175">
        <v>-24137</v>
      </c>
      <c r="R101" s="116"/>
      <c r="S101" s="104" t="e">
        <v>#REF!</v>
      </c>
    </row>
    <row r="102" spans="2:19" s="114" customFormat="1">
      <c r="C102" s="320"/>
      <c r="D102" s="321"/>
      <c r="E102" s="322"/>
      <c r="F102" s="323"/>
      <c r="G102" s="324"/>
      <c r="H102" s="175"/>
      <c r="I102" s="176"/>
      <c r="J102" s="174"/>
      <c r="K102" s="175"/>
      <c r="L102" s="176"/>
      <c r="M102" s="174"/>
      <c r="N102" s="175"/>
      <c r="O102" s="176"/>
      <c r="P102" s="174"/>
      <c r="Q102" s="175"/>
      <c r="R102" s="116"/>
      <c r="S102" s="104" t="e">
        <v>#REF!</v>
      </c>
    </row>
    <row r="103" spans="2:19" s="114" customFormat="1">
      <c r="B103" s="115"/>
      <c r="C103" s="320"/>
      <c r="D103" s="321"/>
      <c r="E103" s="322"/>
      <c r="F103" s="323"/>
      <c r="G103" s="324"/>
      <c r="H103" s="175">
        <v>4197677.3220558912</v>
      </c>
      <c r="I103" s="176">
        <v>3648705.1949060326</v>
      </c>
      <c r="J103" s="174">
        <v>0</v>
      </c>
      <c r="K103" s="175">
        <v>3648705.1949060326</v>
      </c>
      <c r="L103" s="176">
        <v>3655181.5622569802</v>
      </c>
      <c r="M103" s="174">
        <v>-100129</v>
      </c>
      <c r="N103" s="175">
        <v>3555052.5622569802</v>
      </c>
      <c r="O103" s="176">
        <v>0</v>
      </c>
      <c r="P103" s="174">
        <v>331</v>
      </c>
      <c r="Q103" s="175">
        <v>331</v>
      </c>
      <c r="R103" s="116"/>
      <c r="S103" s="104" t="e">
        <v>#REF!</v>
      </c>
    </row>
    <row r="104" spans="2:19">
      <c r="C104" s="347"/>
      <c r="D104" s="348"/>
      <c r="E104" s="349"/>
      <c r="F104" s="318"/>
      <c r="G104" s="319"/>
      <c r="H104" s="171"/>
      <c r="I104" s="172"/>
      <c r="J104" s="170"/>
      <c r="K104" s="171"/>
      <c r="L104" s="172"/>
      <c r="M104" s="170"/>
      <c r="N104" s="171"/>
      <c r="O104" s="172"/>
      <c r="P104" s="170"/>
      <c r="Q104" s="171"/>
      <c r="S104" s="104" t="e">
        <v>#REF!</v>
      </c>
    </row>
    <row r="105" spans="2:19" outlineLevel="1">
      <c r="C105" s="347"/>
      <c r="D105" s="348"/>
      <c r="E105" s="349"/>
      <c r="F105" s="318"/>
      <c r="G105" s="319"/>
      <c r="H105" s="171">
        <v>0</v>
      </c>
      <c r="I105" s="172">
        <v>0</v>
      </c>
      <c r="J105" s="170"/>
      <c r="K105" s="171">
        <v>0</v>
      </c>
      <c r="L105" s="172">
        <v>0</v>
      </c>
      <c r="M105" s="170"/>
      <c r="N105" s="171">
        <v>0</v>
      </c>
      <c r="O105" s="172">
        <v>0</v>
      </c>
      <c r="P105" s="170"/>
      <c r="Q105" s="171">
        <v>0</v>
      </c>
      <c r="S105" s="104" t="b">
        <v>1</v>
      </c>
    </row>
    <row r="106" spans="2:19" outlineLevel="1">
      <c r="C106" s="347"/>
      <c r="D106" s="348"/>
      <c r="E106" s="349"/>
      <c r="F106" s="318"/>
      <c r="G106" s="319"/>
      <c r="H106" s="171">
        <v>0</v>
      </c>
      <c r="I106" s="172">
        <v>0</v>
      </c>
      <c r="J106" s="170"/>
      <c r="K106" s="171">
        <v>0</v>
      </c>
      <c r="L106" s="172">
        <v>0</v>
      </c>
      <c r="M106" s="170"/>
      <c r="N106" s="171">
        <v>0</v>
      </c>
      <c r="O106" s="172">
        <v>0</v>
      </c>
      <c r="P106" s="170"/>
      <c r="Q106" s="171">
        <v>0</v>
      </c>
      <c r="S106" s="104" t="b">
        <v>1</v>
      </c>
    </row>
    <row r="107" spans="2:19" outlineLevel="1">
      <c r="C107" s="347"/>
      <c r="D107" s="348"/>
      <c r="E107" s="349"/>
      <c r="F107" s="318"/>
      <c r="G107" s="319"/>
      <c r="H107" s="171">
        <v>0</v>
      </c>
      <c r="I107" s="172">
        <v>11648.19182054</v>
      </c>
      <c r="J107" s="170"/>
      <c r="K107" s="171">
        <v>11648.19182054</v>
      </c>
      <c r="L107" s="172">
        <v>9531.6866752499991</v>
      </c>
      <c r="M107" s="170">
        <v>-272</v>
      </c>
      <c r="N107" s="171">
        <v>9259.6866752499991</v>
      </c>
      <c r="O107" s="172">
        <v>0</v>
      </c>
      <c r="P107" s="170"/>
      <c r="Q107" s="171">
        <v>0</v>
      </c>
      <c r="S107" s="104" t="b">
        <v>1</v>
      </c>
    </row>
    <row r="108" spans="2:19" s="114" customFormat="1">
      <c r="C108" s="318"/>
      <c r="D108" s="321"/>
      <c r="E108" s="322"/>
      <c r="F108" s="318"/>
      <c r="G108" s="324"/>
      <c r="H108" s="175">
        <v>0</v>
      </c>
      <c r="I108" s="176">
        <v>11648.19182054</v>
      </c>
      <c r="J108" s="174">
        <v>0</v>
      </c>
      <c r="K108" s="175">
        <v>11648.19182054</v>
      </c>
      <c r="L108" s="176">
        <v>9531.6866752499991</v>
      </c>
      <c r="M108" s="174">
        <v>-272</v>
      </c>
      <c r="N108" s="175">
        <v>9259.6866752499991</v>
      </c>
      <c r="O108" s="176">
        <v>0</v>
      </c>
      <c r="P108" s="174">
        <v>0</v>
      </c>
      <c r="Q108" s="175">
        <v>0</v>
      </c>
      <c r="R108" s="116"/>
      <c r="S108" s="104" t="e">
        <v>#REF!</v>
      </c>
    </row>
    <row r="109" spans="2:19" outlineLevel="1">
      <c r="C109" s="347"/>
      <c r="D109" s="348"/>
      <c r="E109" s="349"/>
      <c r="F109" s="318"/>
      <c r="G109" s="319"/>
      <c r="H109" s="171">
        <v>0</v>
      </c>
      <c r="I109" s="172">
        <v>0</v>
      </c>
      <c r="J109" s="170"/>
      <c r="K109" s="171">
        <v>0</v>
      </c>
      <c r="L109" s="172">
        <v>0</v>
      </c>
      <c r="M109" s="170"/>
      <c r="N109" s="171">
        <v>0</v>
      </c>
      <c r="O109" s="172">
        <v>0</v>
      </c>
      <c r="P109" s="170"/>
      <c r="Q109" s="171">
        <v>0</v>
      </c>
      <c r="S109" s="104" t="b">
        <v>1</v>
      </c>
    </row>
    <row r="110" spans="2:19" outlineLevel="1">
      <c r="C110" s="347"/>
      <c r="D110" s="348"/>
      <c r="E110" s="349"/>
      <c r="F110" s="318"/>
      <c r="G110" s="319"/>
      <c r="H110" s="171">
        <v>0</v>
      </c>
      <c r="I110" s="172">
        <v>0</v>
      </c>
      <c r="J110" s="170"/>
      <c r="K110" s="171">
        <v>0</v>
      </c>
      <c r="L110" s="172">
        <v>2889.8996059999999</v>
      </c>
      <c r="M110" s="170"/>
      <c r="N110" s="171">
        <v>2889.8996059999999</v>
      </c>
      <c r="O110" s="172">
        <v>0</v>
      </c>
      <c r="P110" s="170"/>
      <c r="Q110" s="171">
        <v>0</v>
      </c>
      <c r="S110" s="104" t="b">
        <v>1</v>
      </c>
    </row>
    <row r="111" spans="2:19" outlineLevel="1">
      <c r="C111" s="347"/>
      <c r="D111" s="348"/>
      <c r="E111" s="349"/>
      <c r="F111" s="318"/>
      <c r="G111" s="319"/>
      <c r="H111" s="171">
        <v>0</v>
      </c>
      <c r="I111" s="172">
        <v>0</v>
      </c>
      <c r="J111" s="170"/>
      <c r="K111" s="171">
        <v>0</v>
      </c>
      <c r="L111" s="172">
        <v>0</v>
      </c>
      <c r="M111" s="170"/>
      <c r="N111" s="171">
        <v>0</v>
      </c>
      <c r="O111" s="172">
        <v>0</v>
      </c>
      <c r="P111" s="170"/>
      <c r="Q111" s="171">
        <v>0</v>
      </c>
      <c r="S111" s="104" t="b">
        <v>1</v>
      </c>
    </row>
    <row r="112" spans="2:19" outlineLevel="1">
      <c r="C112" s="347"/>
      <c r="D112" s="348"/>
      <c r="E112" s="349"/>
      <c r="F112" s="318"/>
      <c r="G112" s="319"/>
      <c r="H112" s="171">
        <v>0</v>
      </c>
      <c r="I112" s="172">
        <v>0</v>
      </c>
      <c r="J112" s="170"/>
      <c r="K112" s="171">
        <v>0</v>
      </c>
      <c r="L112" s="172">
        <v>0</v>
      </c>
      <c r="M112" s="170"/>
      <c r="N112" s="171">
        <v>0</v>
      </c>
      <c r="O112" s="172">
        <v>0</v>
      </c>
      <c r="P112" s="170"/>
      <c r="Q112" s="171">
        <v>0</v>
      </c>
      <c r="S112" s="104" t="b">
        <v>1</v>
      </c>
    </row>
    <row r="113" spans="1:19" outlineLevel="1">
      <c r="C113" s="347"/>
      <c r="D113" s="348"/>
      <c r="E113" s="349"/>
      <c r="F113" s="318"/>
      <c r="G113" s="319"/>
      <c r="H113" s="171">
        <v>0</v>
      </c>
      <c r="I113" s="172">
        <v>0</v>
      </c>
      <c r="J113" s="170"/>
      <c r="K113" s="171">
        <v>0</v>
      </c>
      <c r="L113" s="172">
        <v>0</v>
      </c>
      <c r="M113" s="170"/>
      <c r="N113" s="171">
        <v>0</v>
      </c>
      <c r="O113" s="172">
        <v>0</v>
      </c>
      <c r="P113" s="170"/>
      <c r="Q113" s="171">
        <v>0</v>
      </c>
      <c r="S113" s="104" t="b">
        <v>1</v>
      </c>
    </row>
    <row r="114" spans="1:19" outlineLevel="1">
      <c r="C114" s="347"/>
      <c r="D114" s="348"/>
      <c r="E114" s="349"/>
      <c r="F114" s="318"/>
      <c r="G114" s="319"/>
      <c r="H114" s="171">
        <v>0</v>
      </c>
      <c r="I114" s="172">
        <v>0</v>
      </c>
      <c r="J114" s="170"/>
      <c r="K114" s="171">
        <v>0</v>
      </c>
      <c r="L114" s="172">
        <v>0</v>
      </c>
      <c r="M114" s="170"/>
      <c r="N114" s="171">
        <v>0</v>
      </c>
      <c r="O114" s="172">
        <v>0</v>
      </c>
      <c r="P114" s="170"/>
      <c r="Q114" s="171">
        <v>0</v>
      </c>
      <c r="S114" s="104" t="b">
        <v>1</v>
      </c>
    </row>
    <row r="115" spans="1:19" outlineLevel="1">
      <c r="C115" s="347"/>
      <c r="D115" s="348"/>
      <c r="E115" s="349"/>
      <c r="F115" s="318"/>
      <c r="G115" s="319"/>
      <c r="H115" s="171">
        <v>0</v>
      </c>
      <c r="I115" s="172">
        <v>3194</v>
      </c>
      <c r="J115" s="170"/>
      <c r="K115" s="171">
        <v>3194</v>
      </c>
      <c r="L115" s="172">
        <v>0</v>
      </c>
      <c r="M115" s="170"/>
      <c r="N115" s="171">
        <v>0</v>
      </c>
      <c r="O115" s="172">
        <v>0</v>
      </c>
      <c r="P115" s="170"/>
      <c r="Q115" s="171">
        <v>0</v>
      </c>
      <c r="S115" s="104" t="b">
        <v>1</v>
      </c>
    </row>
    <row r="116" spans="1:19" outlineLevel="1">
      <c r="C116" s="347"/>
      <c r="D116" s="348"/>
      <c r="E116" s="349"/>
      <c r="F116" s="318"/>
      <c r="G116" s="319"/>
      <c r="H116" s="171">
        <v>0</v>
      </c>
      <c r="I116" s="172">
        <v>0</v>
      </c>
      <c r="J116" s="170"/>
      <c r="K116" s="171">
        <v>0</v>
      </c>
      <c r="L116" s="172">
        <v>0</v>
      </c>
      <c r="M116" s="170"/>
      <c r="N116" s="171">
        <v>0</v>
      </c>
      <c r="O116" s="172">
        <v>0</v>
      </c>
      <c r="P116" s="170"/>
      <c r="Q116" s="171">
        <v>0</v>
      </c>
      <c r="S116" s="104" t="b">
        <v>1</v>
      </c>
    </row>
    <row r="117" spans="1:19" outlineLevel="1">
      <c r="C117" s="347"/>
      <c r="D117" s="348"/>
      <c r="E117" s="349"/>
      <c r="F117" s="318"/>
      <c r="G117" s="319"/>
      <c r="H117" s="171">
        <v>0</v>
      </c>
      <c r="I117" s="172">
        <v>0</v>
      </c>
      <c r="J117" s="170"/>
      <c r="K117" s="171">
        <v>0</v>
      </c>
      <c r="L117" s="172">
        <v>0</v>
      </c>
      <c r="M117" s="170"/>
      <c r="N117" s="171">
        <v>0</v>
      </c>
      <c r="O117" s="172">
        <v>0</v>
      </c>
      <c r="P117" s="170"/>
      <c r="Q117" s="171">
        <v>0</v>
      </c>
      <c r="S117" s="104" t="b">
        <v>1</v>
      </c>
    </row>
    <row r="118" spans="1:19" s="114" customFormat="1">
      <c r="C118" s="320"/>
      <c r="D118" s="321"/>
      <c r="E118" s="322"/>
      <c r="F118" s="323"/>
      <c r="G118" s="324"/>
      <c r="H118" s="175">
        <v>0</v>
      </c>
      <c r="I118" s="176">
        <v>3194</v>
      </c>
      <c r="J118" s="174">
        <v>0</v>
      </c>
      <c r="K118" s="175">
        <v>3194</v>
      </c>
      <c r="L118" s="176">
        <v>2889.8996059999999</v>
      </c>
      <c r="M118" s="174">
        <v>0</v>
      </c>
      <c r="N118" s="175">
        <v>2889.8996059999999</v>
      </c>
      <c r="O118" s="176">
        <v>0</v>
      </c>
      <c r="P118" s="174">
        <v>0</v>
      </c>
      <c r="Q118" s="175">
        <v>0</v>
      </c>
      <c r="R118" s="116"/>
      <c r="S118" s="104" t="e">
        <v>#REF!</v>
      </c>
    </row>
    <row r="119" spans="1:19" outlineLevel="1">
      <c r="C119" s="347"/>
      <c r="D119" s="348"/>
      <c r="E119" s="349"/>
      <c r="F119" s="318"/>
      <c r="G119" s="319"/>
      <c r="H119" s="171">
        <v>0</v>
      </c>
      <c r="I119" s="172">
        <v>0</v>
      </c>
      <c r="J119" s="170"/>
      <c r="K119" s="171">
        <v>0</v>
      </c>
      <c r="L119" s="172">
        <v>16050</v>
      </c>
      <c r="M119" s="170"/>
      <c r="N119" s="171">
        <v>16050</v>
      </c>
      <c r="O119" s="172">
        <v>0</v>
      </c>
      <c r="P119" s="170"/>
      <c r="Q119" s="171">
        <v>0</v>
      </c>
      <c r="S119" s="104" t="b">
        <v>1</v>
      </c>
    </row>
    <row r="120" spans="1:19" outlineLevel="1">
      <c r="C120" s="347"/>
      <c r="D120" s="348"/>
      <c r="E120" s="349"/>
      <c r="F120" s="318"/>
      <c r="G120" s="319"/>
      <c r="H120" s="171">
        <v>305.833214</v>
      </c>
      <c r="I120" s="172">
        <v>52.306254000000003</v>
      </c>
      <c r="J120" s="170"/>
      <c r="K120" s="171">
        <v>52.306254000000003</v>
      </c>
      <c r="L120" s="172">
        <v>0</v>
      </c>
      <c r="M120" s="170"/>
      <c r="N120" s="171">
        <v>0</v>
      </c>
      <c r="O120" s="172">
        <v>0</v>
      </c>
      <c r="P120" s="170"/>
      <c r="Q120" s="171">
        <v>0</v>
      </c>
      <c r="S120" s="104" t="b">
        <v>1</v>
      </c>
    </row>
    <row r="121" spans="1:19" outlineLevel="1">
      <c r="C121" s="347"/>
      <c r="D121" s="348"/>
      <c r="E121" s="349"/>
      <c r="F121" s="318"/>
      <c r="G121" s="319"/>
      <c r="H121" s="171">
        <v>0</v>
      </c>
      <c r="I121" s="172">
        <v>0</v>
      </c>
      <c r="J121" s="170"/>
      <c r="K121" s="171">
        <v>0</v>
      </c>
      <c r="L121" s="172">
        <v>0</v>
      </c>
      <c r="M121" s="170"/>
      <c r="N121" s="171">
        <v>0</v>
      </c>
      <c r="O121" s="172">
        <v>0</v>
      </c>
      <c r="P121" s="170"/>
      <c r="Q121" s="171">
        <v>0</v>
      </c>
      <c r="S121" s="104" t="b">
        <v>1</v>
      </c>
    </row>
    <row r="122" spans="1:19" outlineLevel="1">
      <c r="C122" s="347"/>
      <c r="D122" s="348"/>
      <c r="E122" s="349"/>
      <c r="F122" s="318"/>
      <c r="G122" s="319"/>
      <c r="H122" s="171">
        <v>0</v>
      </c>
      <c r="I122" s="172">
        <v>0</v>
      </c>
      <c r="J122" s="170"/>
      <c r="K122" s="171">
        <v>0</v>
      </c>
      <c r="L122" s="172">
        <v>0</v>
      </c>
      <c r="M122" s="170"/>
      <c r="N122" s="171">
        <v>0</v>
      </c>
      <c r="O122" s="172">
        <v>0</v>
      </c>
      <c r="P122" s="170"/>
      <c r="Q122" s="171">
        <v>0</v>
      </c>
      <c r="S122" s="104" t="b">
        <v>1</v>
      </c>
    </row>
    <row r="123" spans="1:19" outlineLevel="1">
      <c r="C123" s="347"/>
      <c r="D123" s="348"/>
      <c r="E123" s="349"/>
      <c r="F123" s="318"/>
      <c r="G123" s="319"/>
      <c r="H123" s="171">
        <v>0</v>
      </c>
      <c r="I123" s="172">
        <v>0</v>
      </c>
      <c r="J123" s="170"/>
      <c r="K123" s="171">
        <v>0</v>
      </c>
      <c r="L123" s="172">
        <v>0</v>
      </c>
      <c r="M123" s="170"/>
      <c r="N123" s="171">
        <v>0</v>
      </c>
      <c r="O123" s="172">
        <v>0</v>
      </c>
      <c r="P123" s="170"/>
      <c r="Q123" s="171">
        <v>0</v>
      </c>
      <c r="S123" s="104" t="b">
        <v>1</v>
      </c>
    </row>
    <row r="124" spans="1:19" outlineLevel="1">
      <c r="C124" s="347"/>
      <c r="D124" s="348"/>
      <c r="E124" s="349"/>
      <c r="F124" s="318"/>
      <c r="G124" s="319"/>
      <c r="H124" s="171">
        <v>0</v>
      </c>
      <c r="I124" s="172">
        <v>0</v>
      </c>
      <c r="J124" s="170"/>
      <c r="K124" s="171">
        <v>0</v>
      </c>
      <c r="L124" s="172">
        <v>0</v>
      </c>
      <c r="M124" s="170"/>
      <c r="N124" s="171">
        <v>0</v>
      </c>
      <c r="O124" s="172">
        <v>0</v>
      </c>
      <c r="P124" s="170"/>
      <c r="Q124" s="171">
        <v>0</v>
      </c>
      <c r="R124" s="117"/>
      <c r="S124" s="104" t="b">
        <v>1</v>
      </c>
    </row>
    <row r="125" spans="1:19" outlineLevel="1">
      <c r="A125" s="356"/>
      <c r="B125" s="126"/>
      <c r="C125" s="347"/>
      <c r="D125" s="348"/>
      <c r="E125" s="349"/>
      <c r="F125" s="318"/>
      <c r="G125" s="319"/>
      <c r="H125" s="171">
        <v>0</v>
      </c>
      <c r="I125" s="172">
        <v>0</v>
      </c>
      <c r="J125" s="170"/>
      <c r="K125" s="171">
        <v>0</v>
      </c>
      <c r="L125" s="172">
        <v>0</v>
      </c>
      <c r="M125" s="170"/>
      <c r="N125" s="171">
        <v>0</v>
      </c>
      <c r="O125" s="172">
        <v>0</v>
      </c>
      <c r="P125" s="170"/>
      <c r="Q125" s="171">
        <v>0</v>
      </c>
      <c r="R125" s="117"/>
      <c r="S125" s="104" t="e">
        <v>#REF!</v>
      </c>
    </row>
    <row r="126" spans="1:19" outlineLevel="1">
      <c r="A126" s="356"/>
      <c r="B126" s="126"/>
      <c r="C126" s="347"/>
      <c r="D126" s="348"/>
      <c r="E126" s="349"/>
      <c r="F126" s="318"/>
      <c r="G126" s="319"/>
      <c r="H126" s="171">
        <v>0</v>
      </c>
      <c r="I126" s="172">
        <v>0</v>
      </c>
      <c r="J126" s="170"/>
      <c r="K126" s="171">
        <v>0</v>
      </c>
      <c r="L126" s="172">
        <v>0</v>
      </c>
      <c r="M126" s="170"/>
      <c r="N126" s="171">
        <v>0</v>
      </c>
      <c r="O126" s="172">
        <v>0</v>
      </c>
      <c r="P126" s="170"/>
      <c r="Q126" s="171">
        <v>0</v>
      </c>
      <c r="R126" s="117"/>
      <c r="S126" s="104" t="e">
        <v>#REF!</v>
      </c>
    </row>
    <row r="127" spans="1:19" s="114" customFormat="1">
      <c r="C127" s="320"/>
      <c r="D127" s="321"/>
      <c r="E127" s="322"/>
      <c r="F127" s="323"/>
      <c r="G127" s="324"/>
      <c r="H127" s="175">
        <v>305.833214</v>
      </c>
      <c r="I127" s="176">
        <v>52.306254000000003</v>
      </c>
      <c r="J127" s="174">
        <v>0</v>
      </c>
      <c r="K127" s="175">
        <v>52.306254000000003</v>
      </c>
      <c r="L127" s="176">
        <v>16050</v>
      </c>
      <c r="M127" s="174">
        <v>0</v>
      </c>
      <c r="N127" s="175">
        <v>16050</v>
      </c>
      <c r="O127" s="176">
        <v>0</v>
      </c>
      <c r="P127" s="174">
        <v>0</v>
      </c>
      <c r="Q127" s="175">
        <v>0</v>
      </c>
      <c r="R127" s="116"/>
      <c r="S127" s="104" t="e">
        <v>#REF!</v>
      </c>
    </row>
    <row r="128" spans="1:19" s="114" customFormat="1">
      <c r="B128" s="115"/>
      <c r="C128" s="320"/>
      <c r="D128" s="321"/>
      <c r="E128" s="322"/>
      <c r="F128" s="323"/>
      <c r="G128" s="324"/>
      <c r="H128" s="175">
        <v>305.833214</v>
      </c>
      <c r="I128" s="176">
        <v>14894.498074539999</v>
      </c>
      <c r="J128" s="174">
        <v>0</v>
      </c>
      <c r="K128" s="175">
        <v>14894.498074539999</v>
      </c>
      <c r="L128" s="176">
        <v>28471.586281249998</v>
      </c>
      <c r="M128" s="174">
        <v>-272</v>
      </c>
      <c r="N128" s="175">
        <v>28199.586281249998</v>
      </c>
      <c r="O128" s="176">
        <v>0</v>
      </c>
      <c r="P128" s="174">
        <v>0</v>
      </c>
      <c r="Q128" s="175">
        <v>0</v>
      </c>
      <c r="R128" s="118"/>
      <c r="S128" s="104" t="e">
        <v>#REF!</v>
      </c>
    </row>
    <row r="129" spans="3:19">
      <c r="C129" s="347"/>
      <c r="D129" s="348"/>
      <c r="E129" s="349"/>
      <c r="F129" s="318"/>
      <c r="G129" s="319"/>
      <c r="H129" s="171"/>
      <c r="I129" s="172"/>
      <c r="J129" s="170"/>
      <c r="K129" s="171"/>
      <c r="L129" s="172"/>
      <c r="M129" s="170"/>
      <c r="N129" s="171"/>
      <c r="O129" s="172"/>
      <c r="P129" s="170"/>
      <c r="Q129" s="171"/>
      <c r="S129" s="104" t="e">
        <v>#REF!</v>
      </c>
    </row>
    <row r="130" spans="3:19" outlineLevel="1">
      <c r="C130" s="347"/>
      <c r="D130" s="348"/>
      <c r="E130" s="349"/>
      <c r="F130" s="318"/>
      <c r="G130" s="319"/>
      <c r="H130" s="171">
        <v>0</v>
      </c>
      <c r="I130" s="172">
        <v>0</v>
      </c>
      <c r="J130" s="170"/>
      <c r="K130" s="171">
        <v>0</v>
      </c>
      <c r="L130" s="172">
        <v>0</v>
      </c>
      <c r="M130" s="170"/>
      <c r="N130" s="171">
        <v>0</v>
      </c>
      <c r="O130" s="172">
        <v>0</v>
      </c>
      <c r="P130" s="170"/>
      <c r="Q130" s="171">
        <v>0</v>
      </c>
      <c r="S130" s="104" t="b">
        <v>1</v>
      </c>
    </row>
    <row r="131" spans="3:19" outlineLevel="1">
      <c r="C131" s="347"/>
      <c r="D131" s="348"/>
      <c r="E131" s="349"/>
      <c r="F131" s="318"/>
      <c r="G131" s="319"/>
      <c r="H131" s="171">
        <v>4335</v>
      </c>
      <c r="I131" s="172">
        <v>10098</v>
      </c>
      <c r="J131" s="170"/>
      <c r="K131" s="171">
        <v>10098</v>
      </c>
      <c r="L131" s="172">
        <v>0</v>
      </c>
      <c r="M131" s="170"/>
      <c r="N131" s="171">
        <v>0</v>
      </c>
      <c r="O131" s="172">
        <v>0</v>
      </c>
      <c r="P131" s="170"/>
      <c r="Q131" s="171">
        <v>0</v>
      </c>
      <c r="S131" s="104" t="b">
        <v>1</v>
      </c>
    </row>
    <row r="132" spans="3:19" outlineLevel="1">
      <c r="C132" s="347"/>
      <c r="D132" s="348"/>
      <c r="E132" s="349"/>
      <c r="F132" s="318"/>
      <c r="G132" s="319"/>
      <c r="H132" s="171">
        <v>221</v>
      </c>
      <c r="I132" s="172">
        <v>15</v>
      </c>
      <c r="J132" s="170"/>
      <c r="K132" s="171">
        <v>15</v>
      </c>
      <c r="L132" s="172">
        <v>8772</v>
      </c>
      <c r="M132" s="170">
        <v>1055</v>
      </c>
      <c r="N132" s="171">
        <v>9827</v>
      </c>
      <c r="O132" s="172">
        <v>0</v>
      </c>
      <c r="P132" s="170"/>
      <c r="Q132" s="171">
        <v>0</v>
      </c>
      <c r="S132" s="104" t="b">
        <v>1</v>
      </c>
    </row>
    <row r="133" spans="3:19" s="114" customFormat="1">
      <c r="C133" s="320"/>
      <c r="D133" s="321"/>
      <c r="E133" s="322"/>
      <c r="F133" s="323"/>
      <c r="G133" s="324"/>
      <c r="H133" s="175">
        <v>73653.320000000007</v>
      </c>
      <c r="I133" s="176">
        <v>38483.14</v>
      </c>
      <c r="J133" s="174">
        <v>0</v>
      </c>
      <c r="K133" s="175">
        <v>38483.14</v>
      </c>
      <c r="L133" s="176">
        <v>28986</v>
      </c>
      <c r="M133" s="174">
        <v>1055</v>
      </c>
      <c r="N133" s="175">
        <v>30041</v>
      </c>
      <c r="O133" s="176">
        <v>0</v>
      </c>
      <c r="P133" s="174">
        <v>0</v>
      </c>
      <c r="Q133" s="175">
        <v>0</v>
      </c>
      <c r="R133" s="116"/>
      <c r="S133" s="104" t="e">
        <v>#REF!</v>
      </c>
    </row>
    <row r="134" spans="3:19" outlineLevel="1">
      <c r="C134" s="347"/>
      <c r="D134" s="348"/>
      <c r="E134" s="349"/>
      <c r="F134" s="318"/>
      <c r="G134" s="319"/>
      <c r="H134" s="171">
        <v>0</v>
      </c>
      <c r="I134" s="172">
        <v>0</v>
      </c>
      <c r="J134" s="170"/>
      <c r="K134" s="171">
        <v>0</v>
      </c>
      <c r="L134" s="172">
        <v>0</v>
      </c>
      <c r="M134" s="170"/>
      <c r="N134" s="171">
        <v>0</v>
      </c>
      <c r="O134" s="172">
        <v>0</v>
      </c>
      <c r="P134" s="170"/>
      <c r="Q134" s="171">
        <v>0</v>
      </c>
      <c r="S134" s="104" t="b">
        <v>1</v>
      </c>
    </row>
    <row r="135" spans="3:19" outlineLevel="1">
      <c r="C135" s="347"/>
      <c r="D135" s="348"/>
      <c r="E135" s="349"/>
      <c r="F135" s="318"/>
      <c r="G135" s="319"/>
      <c r="H135" s="171">
        <v>0</v>
      </c>
      <c r="I135" s="172">
        <v>0</v>
      </c>
      <c r="J135" s="170"/>
      <c r="K135" s="171">
        <v>0</v>
      </c>
      <c r="L135" s="172">
        <v>0</v>
      </c>
      <c r="M135" s="170"/>
      <c r="N135" s="171">
        <v>0</v>
      </c>
      <c r="O135" s="172">
        <v>0</v>
      </c>
      <c r="P135" s="170"/>
      <c r="Q135" s="171">
        <v>0</v>
      </c>
      <c r="S135" s="104" t="b">
        <v>1</v>
      </c>
    </row>
    <row r="136" spans="3:19" outlineLevel="1">
      <c r="C136" s="347"/>
      <c r="D136" s="348"/>
      <c r="E136" s="349"/>
      <c r="F136" s="318"/>
      <c r="G136" s="319"/>
      <c r="H136" s="171">
        <v>0</v>
      </c>
      <c r="I136" s="172">
        <v>0</v>
      </c>
      <c r="J136" s="170"/>
      <c r="K136" s="171">
        <v>0</v>
      </c>
      <c r="L136" s="172">
        <v>0</v>
      </c>
      <c r="M136" s="170"/>
      <c r="N136" s="171">
        <v>0</v>
      </c>
      <c r="O136" s="172">
        <v>0</v>
      </c>
      <c r="P136" s="170"/>
      <c r="Q136" s="171">
        <v>0</v>
      </c>
      <c r="S136" s="104" t="b">
        <v>1</v>
      </c>
    </row>
    <row r="137" spans="3:19" outlineLevel="1">
      <c r="C137" s="347"/>
      <c r="D137" s="348"/>
      <c r="E137" s="349"/>
      <c r="F137" s="318"/>
      <c r="G137" s="319"/>
      <c r="H137" s="171">
        <v>0</v>
      </c>
      <c r="I137" s="172">
        <v>0</v>
      </c>
      <c r="J137" s="170"/>
      <c r="K137" s="171">
        <v>0</v>
      </c>
      <c r="L137" s="172">
        <v>0</v>
      </c>
      <c r="M137" s="170"/>
      <c r="N137" s="171">
        <v>0</v>
      </c>
      <c r="O137" s="172">
        <v>0</v>
      </c>
      <c r="P137" s="170"/>
      <c r="Q137" s="171">
        <v>0</v>
      </c>
      <c r="S137" s="104" t="b">
        <v>1</v>
      </c>
    </row>
    <row r="138" spans="3:19" outlineLevel="1">
      <c r="C138" s="347"/>
      <c r="D138" s="348"/>
      <c r="E138" s="349"/>
      <c r="F138" s="318"/>
      <c r="G138" s="319"/>
      <c r="H138" s="171">
        <v>0</v>
      </c>
      <c r="I138" s="172">
        <v>0</v>
      </c>
      <c r="J138" s="170"/>
      <c r="K138" s="171">
        <v>0</v>
      </c>
      <c r="L138" s="172">
        <v>0</v>
      </c>
      <c r="M138" s="170"/>
      <c r="N138" s="171">
        <v>0</v>
      </c>
      <c r="O138" s="172">
        <v>0</v>
      </c>
      <c r="P138" s="170"/>
      <c r="Q138" s="171">
        <v>0</v>
      </c>
      <c r="S138" s="104" t="b">
        <v>1</v>
      </c>
    </row>
    <row r="139" spans="3:19" outlineLevel="1">
      <c r="C139" s="347"/>
      <c r="D139" s="348"/>
      <c r="E139" s="349"/>
      <c r="F139" s="318"/>
      <c r="G139" s="319"/>
      <c r="H139" s="171">
        <v>0</v>
      </c>
      <c r="I139" s="172">
        <v>0</v>
      </c>
      <c r="J139" s="170"/>
      <c r="K139" s="171">
        <v>0</v>
      </c>
      <c r="L139" s="172">
        <v>0</v>
      </c>
      <c r="M139" s="170"/>
      <c r="N139" s="171">
        <v>0</v>
      </c>
      <c r="O139" s="172">
        <v>0</v>
      </c>
      <c r="P139" s="170"/>
      <c r="Q139" s="171">
        <v>0</v>
      </c>
      <c r="S139" s="104" t="b">
        <v>1</v>
      </c>
    </row>
    <row r="140" spans="3:19" outlineLevel="1">
      <c r="C140" s="347"/>
      <c r="D140" s="348"/>
      <c r="E140" s="349"/>
      <c r="F140" s="318"/>
      <c r="G140" s="319"/>
      <c r="H140" s="171">
        <v>0</v>
      </c>
      <c r="I140" s="172">
        <v>0</v>
      </c>
      <c r="J140" s="170"/>
      <c r="K140" s="171">
        <v>0</v>
      </c>
      <c r="L140" s="172">
        <v>0</v>
      </c>
      <c r="M140" s="170"/>
      <c r="N140" s="171">
        <v>0</v>
      </c>
      <c r="O140" s="172">
        <v>0</v>
      </c>
      <c r="P140" s="170"/>
      <c r="Q140" s="171">
        <v>0</v>
      </c>
      <c r="S140" s="104" t="b">
        <v>1</v>
      </c>
    </row>
    <row r="141" spans="3:19" outlineLevel="1">
      <c r="C141" s="347"/>
      <c r="D141" s="348"/>
      <c r="E141" s="349"/>
      <c r="F141" s="318"/>
      <c r="G141" s="319"/>
      <c r="H141" s="171">
        <v>0</v>
      </c>
      <c r="I141" s="172">
        <v>0</v>
      </c>
      <c r="J141" s="170"/>
      <c r="K141" s="171">
        <v>0</v>
      </c>
      <c r="L141" s="172">
        <v>0</v>
      </c>
      <c r="M141" s="170"/>
      <c r="N141" s="171">
        <v>0</v>
      </c>
      <c r="O141" s="172">
        <v>0</v>
      </c>
      <c r="P141" s="170"/>
      <c r="Q141" s="171">
        <v>0</v>
      </c>
      <c r="S141" s="104" t="b">
        <v>1</v>
      </c>
    </row>
    <row r="142" spans="3:19" outlineLevel="1">
      <c r="C142" s="347"/>
      <c r="D142" s="348"/>
      <c r="E142" s="349"/>
      <c r="F142" s="318"/>
      <c r="G142" s="319"/>
      <c r="H142" s="171">
        <v>0</v>
      </c>
      <c r="I142" s="172">
        <v>0</v>
      </c>
      <c r="J142" s="170"/>
      <c r="K142" s="171">
        <v>0</v>
      </c>
      <c r="L142" s="172">
        <v>0</v>
      </c>
      <c r="M142" s="170"/>
      <c r="N142" s="171">
        <v>0</v>
      </c>
      <c r="O142" s="172">
        <v>0</v>
      </c>
      <c r="P142" s="170"/>
      <c r="Q142" s="171">
        <v>0</v>
      </c>
      <c r="S142" s="104" t="b">
        <v>1</v>
      </c>
    </row>
    <row r="143" spans="3:19" s="114" customFormat="1">
      <c r="C143" s="320"/>
      <c r="D143" s="321"/>
      <c r="E143" s="322"/>
      <c r="F143" s="318"/>
      <c r="G143" s="324"/>
      <c r="H143" s="175">
        <v>0</v>
      </c>
      <c r="I143" s="176">
        <v>0</v>
      </c>
      <c r="J143" s="174">
        <v>0</v>
      </c>
      <c r="K143" s="175">
        <v>0</v>
      </c>
      <c r="L143" s="176">
        <v>0</v>
      </c>
      <c r="M143" s="174">
        <v>0</v>
      </c>
      <c r="N143" s="175">
        <v>0</v>
      </c>
      <c r="O143" s="176">
        <v>0</v>
      </c>
      <c r="P143" s="174">
        <v>0</v>
      </c>
      <c r="Q143" s="175">
        <v>0</v>
      </c>
      <c r="R143" s="116"/>
      <c r="S143" s="104" t="e">
        <v>#REF!</v>
      </c>
    </row>
    <row r="144" spans="3:19" outlineLevel="1">
      <c r="C144" s="347"/>
      <c r="D144" s="348"/>
      <c r="E144" s="349"/>
      <c r="F144" s="318"/>
      <c r="G144" s="319"/>
      <c r="H144" s="171">
        <v>0</v>
      </c>
      <c r="I144" s="172">
        <v>0</v>
      </c>
      <c r="J144" s="170"/>
      <c r="K144" s="171">
        <v>0</v>
      </c>
      <c r="L144" s="172">
        <v>0</v>
      </c>
      <c r="M144" s="170"/>
      <c r="N144" s="171">
        <v>0</v>
      </c>
      <c r="O144" s="172">
        <v>0</v>
      </c>
      <c r="P144" s="170"/>
      <c r="Q144" s="171">
        <v>0</v>
      </c>
      <c r="S144" s="104" t="b">
        <v>1</v>
      </c>
    </row>
    <row r="145" spans="1:19" outlineLevel="1">
      <c r="C145" s="347"/>
      <c r="D145" s="348"/>
      <c r="E145" s="349"/>
      <c r="F145" s="318"/>
      <c r="G145" s="319"/>
      <c r="H145" s="171">
        <v>0</v>
      </c>
      <c r="I145" s="172">
        <v>0</v>
      </c>
      <c r="J145" s="170"/>
      <c r="K145" s="171">
        <v>0</v>
      </c>
      <c r="L145" s="172">
        <v>0</v>
      </c>
      <c r="M145" s="170"/>
      <c r="N145" s="171">
        <v>0</v>
      </c>
      <c r="O145" s="172">
        <v>0</v>
      </c>
      <c r="P145" s="170"/>
      <c r="Q145" s="171">
        <v>0</v>
      </c>
      <c r="S145" s="104" t="b">
        <v>1</v>
      </c>
    </row>
    <row r="146" spans="1:19" outlineLevel="1">
      <c r="C146" s="347"/>
      <c r="D146" s="348"/>
      <c r="E146" s="349"/>
      <c r="F146" s="318"/>
      <c r="G146" s="319"/>
      <c r="H146" s="171">
        <v>0</v>
      </c>
      <c r="I146" s="172">
        <v>0</v>
      </c>
      <c r="J146" s="170"/>
      <c r="K146" s="171">
        <v>0</v>
      </c>
      <c r="L146" s="172">
        <v>0</v>
      </c>
      <c r="M146" s="170"/>
      <c r="N146" s="171">
        <v>0</v>
      </c>
      <c r="O146" s="172">
        <v>0</v>
      </c>
      <c r="P146" s="170"/>
      <c r="Q146" s="171">
        <v>0</v>
      </c>
      <c r="S146" s="104" t="b">
        <v>1</v>
      </c>
    </row>
    <row r="147" spans="1:19" outlineLevel="1">
      <c r="C147" s="347"/>
      <c r="D147" s="348"/>
      <c r="E147" s="349"/>
      <c r="F147" s="318"/>
      <c r="G147" s="319"/>
      <c r="H147" s="171">
        <v>15987</v>
      </c>
      <c r="I147" s="172">
        <v>19695</v>
      </c>
      <c r="J147" s="170"/>
      <c r="K147" s="171">
        <v>19695</v>
      </c>
      <c r="L147" s="172">
        <v>0</v>
      </c>
      <c r="M147" s="170"/>
      <c r="N147" s="171">
        <v>0</v>
      </c>
      <c r="O147" s="172">
        <v>0</v>
      </c>
      <c r="P147" s="170"/>
      <c r="Q147" s="171">
        <v>0</v>
      </c>
      <c r="S147" s="104" t="b">
        <v>1</v>
      </c>
    </row>
    <row r="148" spans="1:19" outlineLevel="1">
      <c r="C148" s="347"/>
      <c r="D148" s="348"/>
      <c r="E148" s="349"/>
      <c r="F148" s="318"/>
      <c r="G148" s="319"/>
      <c r="H148" s="171">
        <v>0</v>
      </c>
      <c r="I148" s="172">
        <v>0</v>
      </c>
      <c r="J148" s="170"/>
      <c r="K148" s="171">
        <v>0</v>
      </c>
      <c r="L148" s="172">
        <v>0</v>
      </c>
      <c r="M148" s="170"/>
      <c r="N148" s="171">
        <v>0</v>
      </c>
      <c r="O148" s="172">
        <v>0</v>
      </c>
      <c r="P148" s="170"/>
      <c r="Q148" s="171">
        <v>0</v>
      </c>
      <c r="S148" s="104" t="b">
        <v>1</v>
      </c>
    </row>
    <row r="149" spans="1:19" outlineLevel="1">
      <c r="A149" s="126"/>
      <c r="B149" s="126"/>
      <c r="C149" s="347"/>
      <c r="D149" s="348"/>
      <c r="E149" s="349"/>
      <c r="F149" s="318"/>
      <c r="G149" s="319"/>
      <c r="H149" s="171">
        <v>69097.320000000007</v>
      </c>
      <c r="I149" s="172">
        <v>28370.14</v>
      </c>
      <c r="J149" s="170"/>
      <c r="K149" s="171">
        <v>28370.14</v>
      </c>
      <c r="L149" s="172">
        <v>20214</v>
      </c>
      <c r="M149" s="170"/>
      <c r="N149" s="171">
        <v>20214</v>
      </c>
      <c r="O149" s="172">
        <v>0</v>
      </c>
      <c r="P149" s="170"/>
      <c r="Q149" s="171">
        <v>0</v>
      </c>
      <c r="S149" s="104" t="b">
        <v>1</v>
      </c>
    </row>
    <row r="150" spans="1:19" outlineLevel="1">
      <c r="A150" s="356"/>
      <c r="B150" s="126"/>
      <c r="C150" s="347"/>
      <c r="D150" s="348"/>
      <c r="E150" s="349"/>
      <c r="F150" s="318"/>
      <c r="G150" s="319"/>
      <c r="H150" s="171">
        <v>0</v>
      </c>
      <c r="I150" s="172">
        <v>0</v>
      </c>
      <c r="J150" s="170"/>
      <c r="K150" s="171">
        <v>0</v>
      </c>
      <c r="L150" s="172">
        <v>0</v>
      </c>
      <c r="M150" s="170"/>
      <c r="N150" s="171">
        <v>0</v>
      </c>
      <c r="O150" s="172">
        <v>0</v>
      </c>
      <c r="P150" s="170"/>
      <c r="Q150" s="171">
        <v>0</v>
      </c>
      <c r="R150" s="117"/>
      <c r="S150" s="104" t="b">
        <v>0</v>
      </c>
    </row>
    <row r="151" spans="1:19" outlineLevel="1">
      <c r="A151" s="356"/>
      <c r="B151" s="126"/>
      <c r="C151" s="347"/>
      <c r="D151" s="348"/>
      <c r="E151" s="349"/>
      <c r="F151" s="318"/>
      <c r="G151" s="319"/>
      <c r="H151" s="171">
        <v>0</v>
      </c>
      <c r="I151" s="172">
        <v>0</v>
      </c>
      <c r="J151" s="170"/>
      <c r="K151" s="171">
        <v>0</v>
      </c>
      <c r="L151" s="172">
        <v>0</v>
      </c>
      <c r="M151" s="170"/>
      <c r="N151" s="171">
        <v>0</v>
      </c>
      <c r="O151" s="172">
        <v>0</v>
      </c>
      <c r="P151" s="170"/>
      <c r="Q151" s="171">
        <v>0</v>
      </c>
      <c r="R151" s="117"/>
      <c r="S151" s="104" t="b">
        <v>0</v>
      </c>
    </row>
    <row r="152" spans="1:19" outlineLevel="1">
      <c r="C152" s="347"/>
      <c r="D152" s="348"/>
      <c r="E152" s="349"/>
      <c r="F152" s="318"/>
      <c r="G152" s="319"/>
      <c r="H152" s="171">
        <v>0</v>
      </c>
      <c r="I152" s="172">
        <v>0</v>
      </c>
      <c r="J152" s="170"/>
      <c r="K152" s="171">
        <v>0</v>
      </c>
      <c r="L152" s="172">
        <v>0</v>
      </c>
      <c r="M152" s="170"/>
      <c r="N152" s="171">
        <v>0</v>
      </c>
      <c r="O152" s="172">
        <v>0</v>
      </c>
      <c r="P152" s="170"/>
      <c r="Q152" s="171">
        <v>0</v>
      </c>
      <c r="R152" s="117"/>
      <c r="S152" s="104" t="b">
        <v>1</v>
      </c>
    </row>
    <row r="153" spans="1:19" s="114" customFormat="1">
      <c r="C153" s="320"/>
      <c r="D153" s="321"/>
      <c r="E153" s="322"/>
      <c r="F153" s="323"/>
      <c r="G153" s="324"/>
      <c r="H153" s="175">
        <v>15987</v>
      </c>
      <c r="I153" s="176">
        <v>19695</v>
      </c>
      <c r="J153" s="174">
        <v>0</v>
      </c>
      <c r="K153" s="175">
        <v>19695</v>
      </c>
      <c r="L153" s="176">
        <v>0</v>
      </c>
      <c r="M153" s="174">
        <v>0</v>
      </c>
      <c r="N153" s="175">
        <v>0</v>
      </c>
      <c r="O153" s="176">
        <v>0</v>
      </c>
      <c r="P153" s="174">
        <v>0</v>
      </c>
      <c r="Q153" s="175">
        <v>0</v>
      </c>
      <c r="R153" s="116"/>
      <c r="S153" s="104" t="e">
        <v>#REF!</v>
      </c>
    </row>
    <row r="154" spans="1:19" s="114" customFormat="1">
      <c r="B154" s="115"/>
      <c r="C154" s="320"/>
      <c r="D154" s="321"/>
      <c r="E154" s="322"/>
      <c r="F154" s="323"/>
      <c r="G154" s="324"/>
      <c r="H154" s="175">
        <v>89640.320000000007</v>
      </c>
      <c r="I154" s="176">
        <v>58178.14</v>
      </c>
      <c r="J154" s="174">
        <v>0</v>
      </c>
      <c r="K154" s="175">
        <v>58178.14</v>
      </c>
      <c r="L154" s="176">
        <v>28986</v>
      </c>
      <c r="M154" s="174">
        <v>1055</v>
      </c>
      <c r="N154" s="175">
        <v>30041</v>
      </c>
      <c r="O154" s="176">
        <v>0</v>
      </c>
      <c r="P154" s="174">
        <v>0</v>
      </c>
      <c r="Q154" s="175">
        <v>0</v>
      </c>
      <c r="R154" s="118"/>
      <c r="S154" s="104" t="e">
        <v>#REF!</v>
      </c>
    </row>
    <row r="155" spans="1:19">
      <c r="C155" s="347"/>
      <c r="D155" s="348"/>
      <c r="E155" s="349"/>
      <c r="F155" s="318"/>
      <c r="G155" s="319"/>
      <c r="H155" s="171"/>
      <c r="I155" s="172"/>
      <c r="J155" s="170"/>
      <c r="K155" s="171"/>
      <c r="L155" s="172"/>
      <c r="M155" s="170"/>
      <c r="N155" s="171"/>
      <c r="O155" s="172"/>
      <c r="P155" s="170"/>
      <c r="Q155" s="171"/>
      <c r="S155" s="104" t="e">
        <v>#REF!</v>
      </c>
    </row>
    <row r="156" spans="1:19" outlineLevel="1">
      <c r="C156" s="347"/>
      <c r="D156" s="348"/>
      <c r="E156" s="349"/>
      <c r="F156" s="318"/>
      <c r="G156" s="319"/>
      <c r="H156" s="171">
        <v>51034.17</v>
      </c>
      <c r="I156" s="172">
        <v>179549</v>
      </c>
      <c r="J156" s="170"/>
      <c r="K156" s="171">
        <v>179549</v>
      </c>
      <c r="L156" s="172">
        <v>54028.959999999999</v>
      </c>
      <c r="M156" s="170">
        <v>17</v>
      </c>
      <c r="N156" s="171">
        <v>54045.96</v>
      </c>
      <c r="O156" s="172">
        <v>0</v>
      </c>
      <c r="P156" s="170"/>
      <c r="Q156" s="171">
        <v>0</v>
      </c>
      <c r="R156" s="117"/>
      <c r="S156" s="104" t="b">
        <v>1</v>
      </c>
    </row>
    <row r="157" spans="1:19" outlineLevel="1">
      <c r="C157" s="347"/>
      <c r="D157" s="348"/>
      <c r="E157" s="349"/>
      <c r="F157" s="318"/>
      <c r="G157" s="319"/>
      <c r="H157" s="171">
        <v>0</v>
      </c>
      <c r="I157" s="172">
        <v>0</v>
      </c>
      <c r="J157" s="170"/>
      <c r="K157" s="171">
        <v>0</v>
      </c>
      <c r="L157" s="172">
        <v>-536</v>
      </c>
      <c r="M157" s="170"/>
      <c r="N157" s="171">
        <v>-536</v>
      </c>
      <c r="O157" s="172">
        <v>0</v>
      </c>
      <c r="P157" s="170"/>
      <c r="Q157" s="171">
        <v>0</v>
      </c>
      <c r="S157" s="104" t="b">
        <v>1</v>
      </c>
    </row>
    <row r="158" spans="1:19" s="114" customFormat="1">
      <c r="C158" s="320"/>
      <c r="D158" s="321"/>
      <c r="E158" s="322"/>
      <c r="F158" s="323"/>
      <c r="G158" s="324"/>
      <c r="H158" s="175">
        <v>51034.17</v>
      </c>
      <c r="I158" s="176">
        <v>179549</v>
      </c>
      <c r="J158" s="174">
        <v>0</v>
      </c>
      <c r="K158" s="175">
        <v>179549</v>
      </c>
      <c r="L158" s="176">
        <v>53492.959999999999</v>
      </c>
      <c r="M158" s="174">
        <v>17</v>
      </c>
      <c r="N158" s="175">
        <v>53509.96</v>
      </c>
      <c r="O158" s="176">
        <v>0</v>
      </c>
      <c r="P158" s="174">
        <v>0</v>
      </c>
      <c r="Q158" s="175">
        <v>0</v>
      </c>
      <c r="R158" s="116"/>
      <c r="S158" s="104" t="e">
        <v>#REF!</v>
      </c>
    </row>
    <row r="159" spans="1:19" outlineLevel="1">
      <c r="C159" s="347"/>
      <c r="D159" s="348"/>
      <c r="E159" s="349"/>
      <c r="F159" s="318"/>
      <c r="G159" s="319"/>
      <c r="H159" s="171">
        <v>0</v>
      </c>
      <c r="I159" s="172">
        <v>0</v>
      </c>
      <c r="J159" s="170"/>
      <c r="K159" s="171">
        <v>0</v>
      </c>
      <c r="L159" s="172">
        <v>0</v>
      </c>
      <c r="M159" s="170"/>
      <c r="N159" s="171">
        <v>0</v>
      </c>
      <c r="O159" s="172">
        <v>0</v>
      </c>
      <c r="P159" s="170"/>
      <c r="Q159" s="171">
        <v>0</v>
      </c>
      <c r="S159" s="104" t="b">
        <v>1</v>
      </c>
    </row>
    <row r="160" spans="1:19" outlineLevel="1">
      <c r="C160" s="347"/>
      <c r="D160" s="348"/>
      <c r="E160" s="349"/>
      <c r="F160" s="318"/>
      <c r="G160" s="319"/>
      <c r="H160" s="171">
        <v>0</v>
      </c>
      <c r="I160" s="172">
        <v>0</v>
      </c>
      <c r="J160" s="170"/>
      <c r="K160" s="171">
        <v>0</v>
      </c>
      <c r="L160" s="172">
        <v>0</v>
      </c>
      <c r="M160" s="170"/>
      <c r="N160" s="171">
        <v>0</v>
      </c>
      <c r="O160" s="172">
        <v>0</v>
      </c>
      <c r="P160" s="170"/>
      <c r="Q160" s="171">
        <v>0</v>
      </c>
      <c r="S160" s="104" t="b">
        <v>1</v>
      </c>
    </row>
    <row r="161" spans="1:19" s="114" customFormat="1">
      <c r="C161" s="320"/>
      <c r="D161" s="321"/>
      <c r="E161" s="322"/>
      <c r="F161" s="318"/>
      <c r="G161" s="324"/>
      <c r="H161" s="175">
        <v>0</v>
      </c>
      <c r="I161" s="176">
        <v>0</v>
      </c>
      <c r="J161" s="174">
        <v>0</v>
      </c>
      <c r="K161" s="175">
        <v>0</v>
      </c>
      <c r="L161" s="176">
        <v>0</v>
      </c>
      <c r="M161" s="174">
        <v>0</v>
      </c>
      <c r="N161" s="175">
        <v>0</v>
      </c>
      <c r="O161" s="176">
        <v>0</v>
      </c>
      <c r="P161" s="174">
        <v>0</v>
      </c>
      <c r="Q161" s="175">
        <v>0</v>
      </c>
      <c r="R161" s="116"/>
      <c r="S161" s="104" t="e">
        <v>#REF!</v>
      </c>
    </row>
    <row r="162" spans="1:19" s="114" customFormat="1">
      <c r="B162" s="115"/>
      <c r="C162" s="320"/>
      <c r="D162" s="321"/>
      <c r="E162" s="322"/>
      <c r="F162" s="323"/>
      <c r="G162" s="324"/>
      <c r="H162" s="175">
        <v>51034.17</v>
      </c>
      <c r="I162" s="176">
        <v>179549</v>
      </c>
      <c r="J162" s="174">
        <v>0</v>
      </c>
      <c r="K162" s="175">
        <v>179549</v>
      </c>
      <c r="L162" s="176">
        <v>53492.959999999999</v>
      </c>
      <c r="M162" s="174">
        <v>17</v>
      </c>
      <c r="N162" s="175">
        <v>53509.96</v>
      </c>
      <c r="O162" s="176">
        <v>0</v>
      </c>
      <c r="P162" s="174">
        <v>0</v>
      </c>
      <c r="Q162" s="175">
        <v>0</v>
      </c>
      <c r="R162" s="118"/>
      <c r="S162" s="104" t="e">
        <v>#REF!</v>
      </c>
    </row>
    <row r="163" spans="1:19" s="114" customFormat="1">
      <c r="C163" s="320"/>
      <c r="D163" s="321"/>
      <c r="E163" s="322"/>
      <c r="F163" s="323"/>
      <c r="G163" s="324"/>
      <c r="H163" s="175"/>
      <c r="I163" s="176"/>
      <c r="J163" s="174"/>
      <c r="K163" s="175"/>
      <c r="L163" s="176"/>
      <c r="M163" s="174"/>
      <c r="N163" s="175"/>
      <c r="O163" s="176"/>
      <c r="P163" s="174"/>
      <c r="Q163" s="175"/>
      <c r="R163" s="116"/>
      <c r="S163" s="104" t="e">
        <v>#REF!</v>
      </c>
    </row>
    <row r="164" spans="1:19" s="114" customFormat="1">
      <c r="B164" s="115"/>
      <c r="C164" s="320"/>
      <c r="D164" s="321"/>
      <c r="E164" s="322"/>
      <c r="F164" s="323"/>
      <c r="G164" s="324"/>
      <c r="H164" s="175">
        <v>140980.323214</v>
      </c>
      <c r="I164" s="176">
        <v>252621.63807454001</v>
      </c>
      <c r="J164" s="174">
        <v>0</v>
      </c>
      <c r="K164" s="175">
        <v>252621.63807454001</v>
      </c>
      <c r="L164" s="176">
        <v>110950.54628124999</v>
      </c>
      <c r="M164" s="174">
        <v>800</v>
      </c>
      <c r="N164" s="175">
        <v>111750.54628124999</v>
      </c>
      <c r="O164" s="176">
        <v>0</v>
      </c>
      <c r="P164" s="174">
        <v>0</v>
      </c>
      <c r="Q164" s="175">
        <v>0</v>
      </c>
      <c r="R164" s="116"/>
      <c r="S164" s="104" t="e">
        <v>#REF!</v>
      </c>
    </row>
    <row r="165" spans="1:19">
      <c r="C165" s="347"/>
      <c r="D165" s="348"/>
      <c r="E165" s="349"/>
      <c r="F165" s="318"/>
      <c r="G165" s="319"/>
      <c r="H165" s="171"/>
      <c r="I165" s="172"/>
      <c r="J165" s="170"/>
      <c r="K165" s="171"/>
      <c r="L165" s="172"/>
      <c r="M165" s="170"/>
      <c r="N165" s="171"/>
      <c r="O165" s="172"/>
      <c r="P165" s="170"/>
      <c r="Q165" s="171"/>
      <c r="S165" s="104" t="e">
        <v>#REF!</v>
      </c>
    </row>
    <row r="166" spans="1:19" outlineLevel="1">
      <c r="C166" s="347"/>
      <c r="D166" s="348"/>
      <c r="E166" s="349"/>
      <c r="F166" s="318"/>
      <c r="G166" s="319"/>
      <c r="H166" s="171">
        <v>2234.9633319999998</v>
      </c>
      <c r="I166" s="172">
        <v>1712.7965099999999</v>
      </c>
      <c r="J166" s="170"/>
      <c r="K166" s="171">
        <v>1712.7965099999999</v>
      </c>
      <c r="L166" s="172">
        <v>0</v>
      </c>
      <c r="M166" s="170"/>
      <c r="N166" s="171">
        <v>0</v>
      </c>
      <c r="O166" s="172">
        <v>0</v>
      </c>
      <c r="P166" s="170"/>
      <c r="Q166" s="171">
        <v>0</v>
      </c>
      <c r="S166" s="104" t="b">
        <v>1</v>
      </c>
    </row>
    <row r="167" spans="1:19" outlineLevel="1">
      <c r="C167" s="347"/>
      <c r="D167" s="348"/>
      <c r="E167" s="349"/>
      <c r="F167" s="318"/>
      <c r="G167" s="319"/>
      <c r="H167" s="171">
        <v>428098.44</v>
      </c>
      <c r="I167" s="172">
        <v>581844.43999999994</v>
      </c>
      <c r="J167" s="170"/>
      <c r="K167" s="171">
        <v>581844.43999999994</v>
      </c>
      <c r="L167" s="172">
        <v>1331506.0173160001</v>
      </c>
      <c r="M167" s="170"/>
      <c r="N167" s="171">
        <v>1331506.0173160001</v>
      </c>
      <c r="O167" s="172">
        <v>0</v>
      </c>
      <c r="P167" s="170"/>
      <c r="Q167" s="171">
        <v>0</v>
      </c>
      <c r="S167" s="104" t="b">
        <v>1</v>
      </c>
    </row>
    <row r="168" spans="1:19" outlineLevel="1">
      <c r="C168" s="347"/>
      <c r="D168" s="348"/>
      <c r="E168" s="349"/>
      <c r="F168" s="318"/>
      <c r="G168" s="319"/>
      <c r="H168" s="171">
        <v>328879.11511616601</v>
      </c>
      <c r="I168" s="172">
        <v>348073.18827599997</v>
      </c>
      <c r="J168" s="170"/>
      <c r="K168" s="171">
        <v>348073.18827599997</v>
      </c>
      <c r="L168" s="172">
        <v>196095.91019</v>
      </c>
      <c r="M168" s="170"/>
      <c r="N168" s="171">
        <v>196095.91019</v>
      </c>
      <c r="O168" s="172">
        <v>0</v>
      </c>
      <c r="P168" s="170"/>
      <c r="Q168" s="171">
        <v>0</v>
      </c>
      <c r="S168" s="104" t="b">
        <v>1</v>
      </c>
    </row>
    <row r="169" spans="1:19" outlineLevel="1">
      <c r="C169" s="347"/>
      <c r="D169" s="348"/>
      <c r="E169" s="349"/>
      <c r="F169" s="318"/>
      <c r="G169" s="319"/>
      <c r="H169" s="171">
        <v>5511.4997999999996</v>
      </c>
      <c r="I169" s="172">
        <v>9934.5036</v>
      </c>
      <c r="J169" s="170"/>
      <c r="K169" s="171">
        <v>9934.5036</v>
      </c>
      <c r="L169" s="172">
        <v>1305.1400000000001</v>
      </c>
      <c r="M169" s="170"/>
      <c r="N169" s="171">
        <v>1305.1400000000001</v>
      </c>
      <c r="O169" s="172">
        <v>0</v>
      </c>
      <c r="P169" s="170"/>
      <c r="Q169" s="171">
        <v>0</v>
      </c>
      <c r="S169" s="104" t="b">
        <v>1</v>
      </c>
    </row>
    <row r="170" spans="1:19" outlineLevel="1">
      <c r="C170" s="347"/>
      <c r="D170" s="348"/>
      <c r="E170" s="349"/>
      <c r="F170" s="318"/>
      <c r="G170" s="319"/>
      <c r="H170" s="171">
        <v>903812.48154858802</v>
      </c>
      <c r="I170" s="172">
        <v>524667.05130518996</v>
      </c>
      <c r="J170" s="170"/>
      <c r="K170" s="171">
        <v>524667.05130518996</v>
      </c>
      <c r="L170" s="172">
        <v>465942.00648948899</v>
      </c>
      <c r="M170" s="170"/>
      <c r="N170" s="171">
        <v>465942.00648948899</v>
      </c>
      <c r="O170" s="172">
        <v>0</v>
      </c>
      <c r="P170" s="170"/>
      <c r="Q170" s="171">
        <v>0</v>
      </c>
      <c r="S170" s="104" t="b">
        <v>1</v>
      </c>
    </row>
    <row r="171" spans="1:19" outlineLevel="1">
      <c r="C171" s="347"/>
      <c r="D171" s="348"/>
      <c r="E171" s="349"/>
      <c r="F171" s="318"/>
      <c r="G171" s="319"/>
      <c r="H171" s="171">
        <v>0</v>
      </c>
      <c r="I171" s="172">
        <v>0</v>
      </c>
      <c r="J171" s="170"/>
      <c r="K171" s="171">
        <v>0</v>
      </c>
      <c r="L171" s="172">
        <v>-27.03</v>
      </c>
      <c r="M171" s="170">
        <v>51</v>
      </c>
      <c r="N171" s="171">
        <v>23.97</v>
      </c>
      <c r="O171" s="172">
        <v>0</v>
      </c>
      <c r="P171" s="170"/>
      <c r="Q171" s="171">
        <v>0</v>
      </c>
      <c r="R171" s="121"/>
      <c r="S171" s="104" t="b">
        <v>1</v>
      </c>
    </row>
    <row r="172" spans="1:19" s="114" customFormat="1">
      <c r="B172" s="115"/>
      <c r="C172" s="320"/>
      <c r="D172" s="321"/>
      <c r="E172" s="322"/>
      <c r="F172" s="323"/>
      <c r="G172" s="324"/>
      <c r="H172" s="175">
        <v>1668536.4997967542</v>
      </c>
      <c r="I172" s="176">
        <v>1466231.9796911899</v>
      </c>
      <c r="J172" s="174">
        <v>0</v>
      </c>
      <c r="K172" s="175">
        <v>1466231.9796911899</v>
      </c>
      <c r="L172" s="176">
        <v>1994822.0439954889</v>
      </c>
      <c r="M172" s="174">
        <v>51</v>
      </c>
      <c r="N172" s="175">
        <v>1994873.0439954889</v>
      </c>
      <c r="O172" s="176">
        <v>0</v>
      </c>
      <c r="P172" s="174">
        <v>0</v>
      </c>
      <c r="Q172" s="175">
        <v>0</v>
      </c>
      <c r="R172" s="122"/>
      <c r="S172" s="104" t="e">
        <v>#REF!</v>
      </c>
    </row>
    <row r="173" spans="1:19" s="120" customFormat="1">
      <c r="B173" s="180"/>
      <c r="C173" s="320"/>
      <c r="D173" s="320"/>
      <c r="E173" s="320"/>
      <c r="F173" s="323"/>
      <c r="G173" s="32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22"/>
      <c r="S173" s="104"/>
    </row>
    <row r="174" spans="1:19" s="186" customFormat="1" outlineLevel="1">
      <c r="A174" s="181"/>
      <c r="B174" s="187"/>
      <c r="C174" s="328"/>
      <c r="D174" s="329"/>
      <c r="E174" s="330"/>
      <c r="F174" s="318"/>
      <c r="G174" s="329"/>
      <c r="H174" s="183"/>
      <c r="I174" s="184"/>
      <c r="J174" s="182"/>
      <c r="K174" s="183"/>
      <c r="L174" s="184"/>
      <c r="M174" s="182"/>
      <c r="N174" s="183"/>
      <c r="O174" s="184"/>
      <c r="P174" s="182"/>
      <c r="Q174" s="183"/>
      <c r="R174" s="185"/>
      <c r="S174" s="185" t="b">
        <v>1</v>
      </c>
    </row>
    <row r="175" spans="1:19" s="186" customFormat="1" outlineLevel="1">
      <c r="A175" s="181"/>
      <c r="B175" s="187"/>
      <c r="C175" s="328"/>
      <c r="D175" s="329"/>
      <c r="E175" s="330"/>
      <c r="F175" s="318"/>
      <c r="G175" s="329"/>
      <c r="H175" s="183"/>
      <c r="I175" s="184"/>
      <c r="J175" s="182"/>
      <c r="K175" s="183"/>
      <c r="L175" s="184"/>
      <c r="M175" s="182"/>
      <c r="N175" s="183"/>
      <c r="O175" s="184"/>
      <c r="P175" s="182"/>
      <c r="Q175" s="183"/>
      <c r="R175" s="185"/>
      <c r="S175" s="185" t="b">
        <v>1</v>
      </c>
    </row>
    <row r="176" spans="1:19" s="186" customFormat="1" outlineLevel="1">
      <c r="A176" s="181"/>
      <c r="B176" s="187"/>
      <c r="C176" s="328"/>
      <c r="D176" s="329"/>
      <c r="E176" s="330"/>
      <c r="F176" s="318"/>
      <c r="G176" s="329"/>
      <c r="H176" s="183"/>
      <c r="I176" s="184"/>
      <c r="J176" s="182"/>
      <c r="K176" s="183"/>
      <c r="L176" s="184"/>
      <c r="M176" s="182"/>
      <c r="N176" s="183"/>
      <c r="O176" s="184"/>
      <c r="P176" s="182"/>
      <c r="Q176" s="183"/>
      <c r="R176" s="185"/>
      <c r="S176" s="185" t="b">
        <v>1</v>
      </c>
    </row>
    <row r="177" spans="1:19" s="186" customFormat="1" outlineLevel="1">
      <c r="A177" s="181"/>
      <c r="B177" s="187"/>
      <c r="C177" s="328"/>
      <c r="D177" s="329"/>
      <c r="E177" s="330"/>
      <c r="F177" s="318"/>
      <c r="G177" s="329"/>
      <c r="H177" s="183"/>
      <c r="I177" s="184"/>
      <c r="J177" s="182"/>
      <c r="K177" s="183"/>
      <c r="L177" s="184"/>
      <c r="M177" s="182"/>
      <c r="N177" s="183"/>
      <c r="O177" s="184"/>
      <c r="P177" s="182"/>
      <c r="Q177" s="183"/>
      <c r="R177" s="185"/>
      <c r="S177" s="185" t="b">
        <v>1</v>
      </c>
    </row>
    <row r="178" spans="1:19" s="186" customFormat="1" outlineLevel="1">
      <c r="A178" s="188"/>
      <c r="B178" s="189"/>
      <c r="C178" s="331"/>
      <c r="D178" s="332"/>
      <c r="E178" s="333"/>
      <c r="F178" s="331"/>
      <c r="G178" s="332"/>
      <c r="H178" s="183"/>
      <c r="I178" s="184"/>
      <c r="J178" s="182"/>
      <c r="K178" s="183"/>
      <c r="L178" s="184"/>
      <c r="M178" s="182"/>
      <c r="N178" s="183"/>
      <c r="O178" s="184"/>
      <c r="P178" s="182"/>
      <c r="Q178" s="183"/>
      <c r="R178" s="185"/>
      <c r="S178" s="185" t="e">
        <v>#REF!</v>
      </c>
    </row>
    <row r="179" spans="1:19" s="186" customFormat="1" outlineLevel="1">
      <c r="A179" s="190"/>
      <c r="B179" s="191"/>
      <c r="C179" s="328"/>
      <c r="D179" s="329"/>
      <c r="E179" s="330"/>
      <c r="F179" s="328"/>
      <c r="G179" s="329"/>
      <c r="H179" s="183"/>
      <c r="I179" s="184"/>
      <c r="J179" s="182"/>
      <c r="K179" s="183"/>
      <c r="L179" s="184"/>
      <c r="M179" s="182"/>
      <c r="N179" s="183"/>
      <c r="O179" s="184"/>
      <c r="P179" s="182"/>
      <c r="Q179" s="183"/>
      <c r="R179" s="185"/>
      <c r="S179" s="185" t="e">
        <v>#REF!</v>
      </c>
    </row>
    <row r="180" spans="1:19" s="186" customFormat="1" outlineLevel="1">
      <c r="A180" s="181"/>
      <c r="B180" s="191"/>
      <c r="C180" s="328"/>
      <c r="D180" s="329"/>
      <c r="E180" s="330"/>
      <c r="F180" s="318"/>
      <c r="G180" s="329"/>
      <c r="H180" s="183"/>
      <c r="I180" s="184"/>
      <c r="J180" s="182"/>
      <c r="K180" s="183"/>
      <c r="L180" s="184"/>
      <c r="M180" s="182"/>
      <c r="N180" s="183"/>
      <c r="O180" s="184"/>
      <c r="P180" s="182"/>
      <c r="Q180" s="183"/>
      <c r="R180" s="185"/>
      <c r="S180" s="185" t="b">
        <v>1</v>
      </c>
    </row>
    <row r="181" spans="1:19" s="186" customFormat="1" outlineLevel="1">
      <c r="A181" s="181"/>
      <c r="B181" s="187"/>
      <c r="C181" s="328"/>
      <c r="D181" s="329"/>
      <c r="E181" s="330"/>
      <c r="F181" s="318"/>
      <c r="G181" s="329"/>
      <c r="H181" s="183"/>
      <c r="I181" s="184"/>
      <c r="J181" s="182"/>
      <c r="K181" s="183"/>
      <c r="L181" s="184"/>
      <c r="M181" s="182"/>
      <c r="N181" s="183"/>
      <c r="O181" s="184"/>
      <c r="P181" s="182"/>
      <c r="Q181" s="183"/>
      <c r="R181" s="185"/>
      <c r="S181" s="185" t="b">
        <v>1</v>
      </c>
    </row>
    <row r="182" spans="1:19" s="186" customFormat="1" outlineLevel="1">
      <c r="A182" s="181"/>
      <c r="B182" s="187"/>
      <c r="C182" s="328"/>
      <c r="D182" s="329"/>
      <c r="E182" s="330"/>
      <c r="F182" s="318"/>
      <c r="G182" s="329"/>
      <c r="H182" s="183"/>
      <c r="I182" s="184"/>
      <c r="J182" s="182"/>
      <c r="K182" s="183"/>
      <c r="L182" s="184"/>
      <c r="M182" s="182"/>
      <c r="N182" s="183"/>
      <c r="O182" s="184"/>
      <c r="P182" s="182"/>
      <c r="Q182" s="183"/>
      <c r="R182" s="185"/>
      <c r="S182" s="185" t="b">
        <v>1</v>
      </c>
    </row>
    <row r="183" spans="1:19" s="186" customFormat="1" outlineLevel="1">
      <c r="A183" s="181"/>
      <c r="B183" s="187"/>
      <c r="C183" s="328"/>
      <c r="D183" s="329"/>
      <c r="E183" s="330"/>
      <c r="F183" s="318"/>
      <c r="G183" s="329"/>
      <c r="H183" s="183"/>
      <c r="I183" s="184"/>
      <c r="J183" s="182"/>
      <c r="K183" s="183"/>
      <c r="L183" s="184"/>
      <c r="M183" s="182"/>
      <c r="N183" s="183"/>
      <c r="O183" s="184"/>
      <c r="P183" s="182"/>
      <c r="Q183" s="183"/>
      <c r="R183" s="185"/>
      <c r="S183" s="185" t="b">
        <v>1</v>
      </c>
    </row>
    <row r="184" spans="1:19" s="186" customFormat="1" outlineLevel="1">
      <c r="A184" s="181"/>
      <c r="B184" s="187"/>
      <c r="C184" s="328"/>
      <c r="D184" s="329"/>
      <c r="E184" s="330"/>
      <c r="F184" s="318"/>
      <c r="G184" s="329"/>
      <c r="H184" s="183"/>
      <c r="I184" s="184"/>
      <c r="J184" s="182"/>
      <c r="K184" s="183"/>
      <c r="L184" s="184"/>
      <c r="M184" s="182"/>
      <c r="N184" s="183"/>
      <c r="O184" s="184"/>
      <c r="P184" s="182"/>
      <c r="Q184" s="183"/>
      <c r="R184" s="185"/>
      <c r="S184" s="185" t="b">
        <v>1</v>
      </c>
    </row>
    <row r="185" spans="1:19" s="186" customFormat="1" outlineLevel="1">
      <c r="A185" s="181"/>
      <c r="B185" s="187"/>
      <c r="C185" s="328"/>
      <c r="D185" s="329"/>
      <c r="E185" s="330"/>
      <c r="F185" s="318"/>
      <c r="G185" s="329"/>
      <c r="H185" s="183"/>
      <c r="I185" s="184"/>
      <c r="J185" s="182"/>
      <c r="K185" s="183"/>
      <c r="L185" s="184"/>
      <c r="M185" s="182"/>
      <c r="N185" s="183"/>
      <c r="O185" s="184"/>
      <c r="P185" s="182"/>
      <c r="Q185" s="183"/>
      <c r="R185" s="185"/>
      <c r="S185" s="185" t="b">
        <v>1</v>
      </c>
    </row>
    <row r="186" spans="1:19" s="186" customFormat="1" outlineLevel="1">
      <c r="A186" s="181"/>
      <c r="B186" s="187"/>
      <c r="C186" s="328"/>
      <c r="D186" s="329"/>
      <c r="E186" s="330"/>
      <c r="F186" s="318"/>
      <c r="G186" s="329"/>
      <c r="H186" s="183"/>
      <c r="I186" s="184"/>
      <c r="J186" s="182"/>
      <c r="K186" s="183"/>
      <c r="L186" s="184"/>
      <c r="M186" s="182"/>
      <c r="N186" s="183"/>
      <c r="O186" s="184"/>
      <c r="P186" s="182"/>
      <c r="Q186" s="183"/>
      <c r="R186" s="185"/>
      <c r="S186" s="185" t="b">
        <v>1</v>
      </c>
    </row>
    <row r="187" spans="1:19" s="186" customFormat="1" outlineLevel="1">
      <c r="A187" s="181"/>
      <c r="B187" s="187"/>
      <c r="C187" s="328"/>
      <c r="D187" s="329"/>
      <c r="E187" s="330"/>
      <c r="F187" s="318"/>
      <c r="G187" s="329"/>
      <c r="H187" s="183"/>
      <c r="I187" s="184"/>
      <c r="J187" s="182"/>
      <c r="K187" s="183"/>
      <c r="L187" s="184"/>
      <c r="M187" s="182"/>
      <c r="N187" s="183"/>
      <c r="O187" s="184"/>
      <c r="P187" s="182"/>
      <c r="Q187" s="183"/>
      <c r="R187" s="185"/>
      <c r="S187" s="185" t="b">
        <v>1</v>
      </c>
    </row>
    <row r="188" spans="1:19" s="186" customFormat="1" outlineLevel="1">
      <c r="A188" s="181"/>
      <c r="B188" s="187"/>
      <c r="C188" s="328"/>
      <c r="D188" s="329"/>
      <c r="E188" s="330"/>
      <c r="F188" s="318"/>
      <c r="G188" s="329"/>
      <c r="H188" s="183"/>
      <c r="I188" s="184"/>
      <c r="J188" s="182"/>
      <c r="K188" s="183"/>
      <c r="L188" s="184"/>
      <c r="M188" s="182"/>
      <c r="N188" s="183"/>
      <c r="O188" s="184"/>
      <c r="P188" s="182"/>
      <c r="Q188" s="183"/>
      <c r="R188" s="185"/>
      <c r="S188" s="185" t="b">
        <v>1</v>
      </c>
    </row>
    <row r="189" spans="1:19" s="186" customFormat="1" outlineLevel="1">
      <c r="A189" s="181"/>
      <c r="B189" s="187"/>
      <c r="C189" s="328"/>
      <c r="D189" s="329"/>
      <c r="E189" s="330"/>
      <c r="F189" s="318"/>
      <c r="G189" s="329"/>
      <c r="H189" s="183"/>
      <c r="I189" s="184"/>
      <c r="J189" s="182"/>
      <c r="K189" s="183"/>
      <c r="L189" s="184"/>
      <c r="M189" s="182"/>
      <c r="N189" s="183"/>
      <c r="O189" s="184"/>
      <c r="P189" s="182"/>
      <c r="Q189" s="183"/>
      <c r="R189" s="185"/>
      <c r="S189" s="185" t="b">
        <v>1</v>
      </c>
    </row>
    <row r="190" spans="1:19" s="186" customFormat="1" outlineLevel="1">
      <c r="A190" s="181"/>
      <c r="B190" s="187"/>
      <c r="C190" s="328"/>
      <c r="D190" s="329"/>
      <c r="E190" s="330"/>
      <c r="F190" s="318"/>
      <c r="G190" s="329"/>
      <c r="H190" s="183"/>
      <c r="I190" s="184"/>
      <c r="J190" s="182"/>
      <c r="K190" s="183"/>
      <c r="L190" s="184"/>
      <c r="M190" s="182"/>
      <c r="N190" s="183"/>
      <c r="O190" s="184"/>
      <c r="P190" s="182"/>
      <c r="Q190" s="183"/>
      <c r="R190" s="185"/>
      <c r="S190" s="185" t="b">
        <v>1</v>
      </c>
    </row>
    <row r="191" spans="1:19" s="186" customFormat="1" outlineLevel="1">
      <c r="A191" s="181"/>
      <c r="B191" s="187"/>
      <c r="C191" s="328"/>
      <c r="D191" s="329"/>
      <c r="E191" s="330"/>
      <c r="F191" s="318"/>
      <c r="G191" s="329"/>
      <c r="H191" s="183"/>
      <c r="I191" s="184"/>
      <c r="J191" s="182"/>
      <c r="K191" s="183"/>
      <c r="L191" s="184"/>
      <c r="M191" s="182"/>
      <c r="N191" s="183"/>
      <c r="O191" s="184"/>
      <c r="P191" s="182"/>
      <c r="Q191" s="183"/>
      <c r="R191" s="185"/>
      <c r="S191" s="185" t="b">
        <v>1</v>
      </c>
    </row>
    <row r="192" spans="1:19" s="186" customFormat="1" outlineLevel="1">
      <c r="A192" s="181"/>
      <c r="B192" s="187"/>
      <c r="C192" s="328"/>
      <c r="D192" s="329"/>
      <c r="E192" s="330"/>
      <c r="F192" s="318"/>
      <c r="G192" s="329"/>
      <c r="H192" s="183"/>
      <c r="I192" s="184"/>
      <c r="J192" s="182"/>
      <c r="K192" s="183"/>
      <c r="L192" s="184"/>
      <c r="M192" s="182"/>
      <c r="N192" s="183"/>
      <c r="O192" s="184"/>
      <c r="P192" s="182"/>
      <c r="Q192" s="183"/>
      <c r="R192" s="185"/>
      <c r="S192" s="185" t="b">
        <v>1</v>
      </c>
    </row>
    <row r="193" spans="1:19" s="186" customFormat="1" outlineLevel="1">
      <c r="A193" s="181"/>
      <c r="B193" s="187"/>
      <c r="C193" s="328"/>
      <c r="D193" s="329"/>
      <c r="E193" s="330"/>
      <c r="F193" s="318"/>
      <c r="G193" s="329"/>
      <c r="H193" s="183"/>
      <c r="I193" s="184"/>
      <c r="J193" s="182"/>
      <c r="K193" s="183"/>
      <c r="L193" s="184"/>
      <c r="M193" s="182"/>
      <c r="N193" s="183"/>
      <c r="O193" s="184"/>
      <c r="P193" s="182"/>
      <c r="Q193" s="183"/>
      <c r="R193" s="185"/>
      <c r="S193" s="185" t="b">
        <v>1</v>
      </c>
    </row>
    <row r="194" spans="1:19" s="186" customFormat="1" outlineLevel="1">
      <c r="A194" s="181"/>
      <c r="B194" s="187"/>
      <c r="C194" s="328"/>
      <c r="D194" s="329"/>
      <c r="E194" s="330"/>
      <c r="F194" s="318"/>
      <c r="G194" s="329"/>
      <c r="H194" s="183"/>
      <c r="I194" s="184"/>
      <c r="J194" s="182"/>
      <c r="K194" s="183"/>
      <c r="L194" s="184"/>
      <c r="M194" s="182"/>
      <c r="N194" s="183"/>
      <c r="O194" s="184"/>
      <c r="P194" s="182"/>
      <c r="Q194" s="183"/>
      <c r="R194" s="185"/>
      <c r="S194" s="185" t="b">
        <v>1</v>
      </c>
    </row>
    <row r="195" spans="1:19" s="186" customFormat="1" outlineLevel="1">
      <c r="A195" s="181"/>
      <c r="B195" s="187"/>
      <c r="C195" s="328"/>
      <c r="D195" s="329"/>
      <c r="E195" s="330"/>
      <c r="F195" s="318"/>
      <c r="G195" s="329"/>
      <c r="H195" s="183"/>
      <c r="I195" s="184"/>
      <c r="J195" s="182"/>
      <c r="K195" s="183"/>
      <c r="L195" s="184"/>
      <c r="M195" s="182"/>
      <c r="N195" s="183"/>
      <c r="O195" s="184"/>
      <c r="P195" s="182"/>
      <c r="Q195" s="183"/>
      <c r="R195" s="185"/>
      <c r="S195" s="185" t="b">
        <v>1</v>
      </c>
    </row>
    <row r="196" spans="1:19" s="186" customFormat="1" outlineLevel="1">
      <c r="A196" s="181"/>
      <c r="B196" s="187"/>
      <c r="C196" s="328"/>
      <c r="D196" s="329"/>
      <c r="E196" s="330"/>
      <c r="F196" s="318"/>
      <c r="G196" s="329"/>
      <c r="H196" s="183"/>
      <c r="I196" s="184"/>
      <c r="J196" s="182"/>
      <c r="K196" s="183"/>
      <c r="L196" s="184"/>
      <c r="M196" s="182"/>
      <c r="N196" s="183"/>
      <c r="O196" s="184"/>
      <c r="P196" s="182"/>
      <c r="Q196" s="183"/>
      <c r="R196" s="185"/>
      <c r="S196" s="185" t="b">
        <v>1</v>
      </c>
    </row>
    <row r="197" spans="1:19" s="186" customFormat="1" outlineLevel="1">
      <c r="A197" s="181"/>
      <c r="B197" s="187"/>
      <c r="C197" s="328"/>
      <c r="D197" s="329"/>
      <c r="E197" s="330"/>
      <c r="F197" s="318"/>
      <c r="G197" s="329"/>
      <c r="H197" s="183"/>
      <c r="I197" s="184"/>
      <c r="J197" s="182"/>
      <c r="K197" s="183"/>
      <c r="L197" s="184"/>
      <c r="M197" s="182"/>
      <c r="N197" s="183"/>
      <c r="O197" s="184"/>
      <c r="P197" s="182"/>
      <c r="Q197" s="183"/>
      <c r="R197" s="185"/>
      <c r="S197" s="185" t="b">
        <v>1</v>
      </c>
    </row>
    <row r="198" spans="1:19" s="186" customFormat="1" outlineLevel="1">
      <c r="A198" s="188"/>
      <c r="B198" s="189"/>
      <c r="C198" s="331"/>
      <c r="D198" s="332"/>
      <c r="E198" s="333"/>
      <c r="F198" s="331"/>
      <c r="G198" s="332"/>
      <c r="H198" s="183"/>
      <c r="I198" s="184"/>
      <c r="J198" s="182"/>
      <c r="K198" s="183"/>
      <c r="L198" s="184"/>
      <c r="M198" s="182"/>
      <c r="N198" s="183"/>
      <c r="O198" s="184"/>
      <c r="P198" s="182"/>
      <c r="Q198" s="183"/>
      <c r="R198" s="185"/>
      <c r="S198" s="185" t="e">
        <v>#REF!</v>
      </c>
    </row>
    <row r="199" spans="1:19" s="186" customFormat="1" ht="5.25" customHeight="1" outlineLevel="1">
      <c r="A199" s="188"/>
      <c r="B199" s="189"/>
      <c r="C199" s="328"/>
      <c r="D199" s="329"/>
      <c r="E199" s="330"/>
      <c r="F199" s="328"/>
      <c r="G199" s="329"/>
      <c r="H199" s="183"/>
      <c r="I199" s="184"/>
      <c r="J199" s="182"/>
      <c r="K199" s="183"/>
      <c r="L199" s="184"/>
      <c r="M199" s="182"/>
      <c r="N199" s="183"/>
      <c r="O199" s="184"/>
      <c r="P199" s="182"/>
      <c r="Q199" s="183"/>
      <c r="R199" s="185"/>
      <c r="S199" s="185" t="e">
        <v>#REF!</v>
      </c>
    </row>
    <row r="200" spans="1:19" s="186" customFormat="1">
      <c r="A200" s="192"/>
      <c r="B200" s="193"/>
      <c r="C200" s="328"/>
      <c r="D200" s="334"/>
      <c r="E200" s="334"/>
      <c r="F200" s="328"/>
      <c r="G200" s="334"/>
      <c r="R200" s="185"/>
      <c r="S200" s="185" t="e">
        <v>#REF!</v>
      </c>
    </row>
    <row r="201" spans="1:19" s="124" customFormat="1" ht="13.5" thickBot="1">
      <c r="C201" s="350"/>
      <c r="D201" s="351"/>
      <c r="E201" s="351"/>
      <c r="F201" s="335"/>
      <c r="G201" s="336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25"/>
      <c r="S201" s="185" t="e">
        <v>#REF!</v>
      </c>
    </row>
    <row r="202" spans="1:19" ht="13.5" thickTop="1">
      <c r="C202" s="347"/>
      <c r="D202" s="352"/>
      <c r="E202" s="352"/>
      <c r="F202" s="318"/>
      <c r="G202" s="337"/>
      <c r="S202" s="185" t="e">
        <v>#REF!</v>
      </c>
    </row>
    <row r="203" spans="1:19" outlineLevel="1">
      <c r="A203" s="110"/>
      <c r="C203" s="347"/>
      <c r="D203" s="348"/>
      <c r="E203" s="349"/>
      <c r="F203" s="318"/>
      <c r="G203" s="319"/>
      <c r="H203" s="171">
        <v>0</v>
      </c>
      <c r="I203" s="172">
        <v>-0.42516300000000001</v>
      </c>
      <c r="J203" s="170"/>
      <c r="K203" s="171">
        <v>-0.42516300000000001</v>
      </c>
      <c r="L203" s="172">
        <v>-18260.425163</v>
      </c>
      <c r="M203" s="170"/>
      <c r="N203" s="171">
        <v>-18260.425163</v>
      </c>
      <c r="O203" s="172">
        <v>0</v>
      </c>
      <c r="P203" s="170"/>
      <c r="Q203" s="171">
        <v>0</v>
      </c>
      <c r="S203" s="185" t="b">
        <v>1</v>
      </c>
    </row>
    <row r="204" spans="1:19" outlineLevel="1">
      <c r="A204" s="110"/>
      <c r="C204" s="347"/>
      <c r="D204" s="348"/>
      <c r="E204" s="349"/>
      <c r="F204" s="318"/>
      <c r="G204" s="319"/>
      <c r="H204" s="171">
        <v>0</v>
      </c>
      <c r="I204" s="172">
        <v>0</v>
      </c>
      <c r="J204" s="170"/>
      <c r="K204" s="171">
        <v>0</v>
      </c>
      <c r="L204" s="172">
        <v>-962.02800000000002</v>
      </c>
      <c r="M204" s="170"/>
      <c r="N204" s="171">
        <v>-962.02800000000002</v>
      </c>
      <c r="O204" s="172">
        <v>0</v>
      </c>
      <c r="P204" s="170"/>
      <c r="Q204" s="171">
        <v>0</v>
      </c>
      <c r="S204" s="185" t="b">
        <v>1</v>
      </c>
    </row>
    <row r="205" spans="1:19" outlineLevel="1">
      <c r="A205" s="356"/>
      <c r="B205" s="126"/>
      <c r="C205" s="347"/>
      <c r="D205" s="348"/>
      <c r="E205" s="349"/>
      <c r="F205" s="318"/>
      <c r="G205" s="319"/>
      <c r="H205" s="171">
        <v>0</v>
      </c>
      <c r="I205" s="172">
        <v>0</v>
      </c>
      <c r="J205" s="170"/>
      <c r="K205" s="171">
        <v>0</v>
      </c>
      <c r="L205" s="172">
        <v>-962.02800000000002</v>
      </c>
      <c r="M205" s="170"/>
      <c r="N205" s="171">
        <v>-962.02800000000002</v>
      </c>
      <c r="O205" s="172">
        <v>0</v>
      </c>
      <c r="P205" s="170"/>
      <c r="Q205" s="171">
        <v>0</v>
      </c>
      <c r="S205" s="185" t="b">
        <v>0</v>
      </c>
    </row>
    <row r="206" spans="1:19" outlineLevel="1">
      <c r="A206" s="110"/>
      <c r="C206" s="347"/>
      <c r="D206" s="348"/>
      <c r="E206" s="349"/>
      <c r="F206" s="318"/>
      <c r="G206" s="319"/>
      <c r="H206" s="171">
        <v>-5562</v>
      </c>
      <c r="I206" s="172">
        <v>-4995</v>
      </c>
      <c r="J206" s="170"/>
      <c r="K206" s="171">
        <v>-4995</v>
      </c>
      <c r="L206" s="172">
        <v>-5271.1910239999997</v>
      </c>
      <c r="M206" s="170"/>
      <c r="N206" s="171">
        <v>-5271.1910239999997</v>
      </c>
      <c r="O206" s="172">
        <v>0</v>
      </c>
      <c r="P206" s="170"/>
      <c r="Q206" s="171">
        <v>0</v>
      </c>
      <c r="S206" s="185" t="b">
        <v>1</v>
      </c>
    </row>
    <row r="207" spans="1:19" outlineLevel="1">
      <c r="A207" s="110"/>
      <c r="C207" s="347"/>
      <c r="D207" s="348"/>
      <c r="E207" s="349"/>
      <c r="F207" s="318"/>
      <c r="G207" s="319"/>
      <c r="H207" s="171">
        <v>-36800.255184000001</v>
      </c>
      <c r="I207" s="172">
        <v>-32297.732928000001</v>
      </c>
      <c r="J207" s="170"/>
      <c r="K207" s="171">
        <v>-32297.732928000001</v>
      </c>
      <c r="L207" s="172">
        <v>-33263.645016000002</v>
      </c>
      <c r="M207" s="170"/>
      <c r="N207" s="171">
        <v>-33263.645016000002</v>
      </c>
      <c r="O207" s="172">
        <v>0</v>
      </c>
      <c r="P207" s="170"/>
      <c r="Q207" s="171">
        <v>0</v>
      </c>
      <c r="S207" s="185" t="b">
        <v>1</v>
      </c>
    </row>
    <row r="208" spans="1:19" outlineLevel="1">
      <c r="A208" s="110"/>
      <c r="C208" s="347"/>
      <c r="D208" s="348"/>
      <c r="E208" s="349"/>
      <c r="F208" s="318"/>
      <c r="G208" s="319"/>
      <c r="H208" s="171">
        <v>0</v>
      </c>
      <c r="I208" s="172">
        <v>0</v>
      </c>
      <c r="J208" s="170"/>
      <c r="K208" s="171">
        <v>0</v>
      </c>
      <c r="L208" s="172">
        <v>0</v>
      </c>
      <c r="M208" s="170"/>
      <c r="N208" s="171">
        <v>0</v>
      </c>
      <c r="O208" s="172">
        <v>0</v>
      </c>
      <c r="P208" s="170"/>
      <c r="Q208" s="171">
        <v>0</v>
      </c>
      <c r="S208" s="185" t="b">
        <v>1</v>
      </c>
    </row>
    <row r="209" spans="1:19" outlineLevel="1">
      <c r="A209" s="110"/>
      <c r="C209" s="347"/>
      <c r="D209" s="348"/>
      <c r="E209" s="349"/>
      <c r="F209" s="318"/>
      <c r="G209" s="319"/>
      <c r="H209" s="171">
        <v>0</v>
      </c>
      <c r="I209" s="172">
        <v>0</v>
      </c>
      <c r="J209" s="170"/>
      <c r="K209" s="171">
        <v>0</v>
      </c>
      <c r="L209" s="172">
        <v>0</v>
      </c>
      <c r="M209" s="170"/>
      <c r="N209" s="171">
        <v>0</v>
      </c>
      <c r="O209" s="172">
        <v>0</v>
      </c>
      <c r="P209" s="170"/>
      <c r="Q209" s="171">
        <v>0</v>
      </c>
      <c r="S209" s="185" t="b">
        <v>1</v>
      </c>
    </row>
    <row r="210" spans="1:19" outlineLevel="1">
      <c r="A210" s="110"/>
      <c r="C210" s="347"/>
      <c r="D210" s="348"/>
      <c r="E210" s="349"/>
      <c r="F210" s="318"/>
      <c r="G210" s="319"/>
      <c r="H210" s="171">
        <v>0</v>
      </c>
      <c r="I210" s="172">
        <v>0</v>
      </c>
      <c r="J210" s="170"/>
      <c r="K210" s="171">
        <v>0</v>
      </c>
      <c r="L210" s="172">
        <v>0</v>
      </c>
      <c r="M210" s="170"/>
      <c r="N210" s="171">
        <v>0</v>
      </c>
      <c r="O210" s="172">
        <v>0</v>
      </c>
      <c r="P210" s="170"/>
      <c r="Q210" s="171">
        <v>0</v>
      </c>
      <c r="S210" s="185" t="b">
        <v>1</v>
      </c>
    </row>
    <row r="211" spans="1:19" outlineLevel="1">
      <c r="A211" s="110"/>
      <c r="C211" s="347"/>
      <c r="D211" s="348"/>
      <c r="E211" s="349"/>
      <c r="F211" s="318"/>
      <c r="G211" s="319"/>
      <c r="H211" s="171">
        <v>-56570.646584000002</v>
      </c>
      <c r="I211" s="172">
        <v>-225352.299822</v>
      </c>
      <c r="J211" s="170"/>
      <c r="K211" s="171">
        <v>-225352.299822</v>
      </c>
      <c r="L211" s="172">
        <v>-200565.95042199999</v>
      </c>
      <c r="M211" s="170"/>
      <c r="N211" s="171">
        <v>-200565.95042199999</v>
      </c>
      <c r="O211" s="172">
        <v>0</v>
      </c>
      <c r="P211" s="170"/>
      <c r="Q211" s="171">
        <v>0</v>
      </c>
      <c r="S211" s="185" t="b">
        <v>1</v>
      </c>
    </row>
    <row r="212" spans="1:19" outlineLevel="1">
      <c r="A212" s="110"/>
      <c r="C212" s="347"/>
      <c r="D212" s="348"/>
      <c r="E212" s="349"/>
      <c r="F212" s="318"/>
      <c r="G212" s="319"/>
      <c r="H212" s="171">
        <v>-322.6295025</v>
      </c>
      <c r="I212" s="172">
        <v>0</v>
      </c>
      <c r="J212" s="170"/>
      <c r="K212" s="171">
        <v>0</v>
      </c>
      <c r="L212" s="172">
        <v>0</v>
      </c>
      <c r="M212" s="170"/>
      <c r="N212" s="171">
        <v>0</v>
      </c>
      <c r="O212" s="172">
        <v>0</v>
      </c>
      <c r="P212" s="170"/>
      <c r="Q212" s="171">
        <v>0</v>
      </c>
      <c r="S212" s="185" t="b">
        <v>1</v>
      </c>
    </row>
    <row r="213" spans="1:19" outlineLevel="1">
      <c r="A213" s="110"/>
      <c r="C213" s="347"/>
      <c r="D213" s="348"/>
      <c r="E213" s="349"/>
      <c r="F213" s="318"/>
      <c r="G213" s="319"/>
      <c r="H213" s="171">
        <v>0</v>
      </c>
      <c r="I213" s="172">
        <v>0</v>
      </c>
      <c r="J213" s="170"/>
      <c r="K213" s="171">
        <v>0</v>
      </c>
      <c r="L213" s="172">
        <v>0</v>
      </c>
      <c r="M213" s="170"/>
      <c r="N213" s="171">
        <v>0</v>
      </c>
      <c r="O213" s="172">
        <v>0</v>
      </c>
      <c r="P213" s="170"/>
      <c r="Q213" s="171">
        <v>0</v>
      </c>
      <c r="S213" s="185" t="b">
        <v>1</v>
      </c>
    </row>
    <row r="214" spans="1:19" outlineLevel="1">
      <c r="A214" s="356"/>
      <c r="B214" s="126"/>
      <c r="C214" s="347"/>
      <c r="D214" s="348"/>
      <c r="E214" s="349"/>
      <c r="F214" s="318"/>
      <c r="G214" s="319"/>
      <c r="H214" s="171">
        <v>-372.76100000000002</v>
      </c>
      <c r="I214" s="172">
        <v>-381.28</v>
      </c>
      <c r="J214" s="170"/>
      <c r="K214" s="171">
        <v>-381.28</v>
      </c>
      <c r="L214" s="172">
        <v>0</v>
      </c>
      <c r="M214" s="170"/>
      <c r="N214" s="171">
        <v>0</v>
      </c>
      <c r="O214" s="172">
        <v>0</v>
      </c>
      <c r="P214" s="170"/>
      <c r="Q214" s="171">
        <v>0</v>
      </c>
      <c r="S214" s="185" t="b">
        <v>0</v>
      </c>
    </row>
    <row r="215" spans="1:19" outlineLevel="1">
      <c r="A215" s="110"/>
      <c r="C215" s="347"/>
      <c r="D215" s="348"/>
      <c r="E215" s="349"/>
      <c r="F215" s="318"/>
      <c r="G215" s="319"/>
      <c r="H215" s="171">
        <v>-372.76100000000002</v>
      </c>
      <c r="I215" s="172">
        <v>-381.28</v>
      </c>
      <c r="J215" s="170"/>
      <c r="K215" s="171">
        <v>-381.28</v>
      </c>
      <c r="L215" s="172">
        <v>0</v>
      </c>
      <c r="M215" s="170"/>
      <c r="N215" s="171">
        <v>0</v>
      </c>
      <c r="O215" s="172">
        <v>0</v>
      </c>
      <c r="P215" s="170"/>
      <c r="Q215" s="171">
        <v>0</v>
      </c>
      <c r="S215" s="185" t="b">
        <v>1</v>
      </c>
    </row>
    <row r="216" spans="1:19" outlineLevel="1">
      <c r="A216" s="110"/>
      <c r="C216" s="347"/>
      <c r="D216" s="348"/>
      <c r="E216" s="349"/>
      <c r="F216" s="318"/>
      <c r="G216" s="319"/>
      <c r="H216" s="171">
        <v>-4486.2299999999996</v>
      </c>
      <c r="I216" s="172">
        <v>-4321.2299999999996</v>
      </c>
      <c r="J216" s="170"/>
      <c r="K216" s="171">
        <v>-4321.2299999999996</v>
      </c>
      <c r="L216" s="172">
        <v>-30487.193748000002</v>
      </c>
      <c r="M216" s="170"/>
      <c r="N216" s="171">
        <v>-30487.193748000002</v>
      </c>
      <c r="O216" s="172">
        <v>0</v>
      </c>
      <c r="P216" s="170"/>
      <c r="Q216" s="171">
        <v>0</v>
      </c>
      <c r="S216" s="185" t="b">
        <v>1</v>
      </c>
    </row>
    <row r="217" spans="1:19" s="114" customFormat="1">
      <c r="B217" s="115"/>
      <c r="C217" s="320"/>
      <c r="D217" s="321"/>
      <c r="E217" s="322"/>
      <c r="F217" s="323"/>
      <c r="G217" s="324"/>
      <c r="H217" s="175">
        <v>-104114.52227050001</v>
      </c>
      <c r="I217" s="176">
        <v>-267347.96791300003</v>
      </c>
      <c r="J217" s="174">
        <v>0</v>
      </c>
      <c r="K217" s="175">
        <v>-267347.96791300003</v>
      </c>
      <c r="L217" s="176">
        <v>-288810.43337300001</v>
      </c>
      <c r="M217" s="174">
        <v>0</v>
      </c>
      <c r="N217" s="175">
        <v>-288810.43337300001</v>
      </c>
      <c r="O217" s="176">
        <v>0</v>
      </c>
      <c r="P217" s="174">
        <v>0</v>
      </c>
      <c r="Q217" s="175">
        <v>0</v>
      </c>
      <c r="R217" s="116"/>
      <c r="S217" s="185" t="e">
        <v>#REF!</v>
      </c>
    </row>
    <row r="218" spans="1:19">
      <c r="C218" s="347"/>
      <c r="D218" s="352"/>
      <c r="E218" s="352"/>
      <c r="F218" s="318"/>
      <c r="G218" s="337"/>
      <c r="S218" s="185" t="e">
        <v>#REF!</v>
      </c>
    </row>
    <row r="219" spans="1:19" outlineLevel="1">
      <c r="C219" s="347"/>
      <c r="D219" s="348"/>
      <c r="E219" s="349"/>
      <c r="F219" s="318"/>
      <c r="G219" s="319"/>
      <c r="H219" s="171">
        <v>0</v>
      </c>
      <c r="I219" s="172">
        <v>0</v>
      </c>
      <c r="J219" s="170"/>
      <c r="K219" s="171">
        <v>0</v>
      </c>
      <c r="L219" s="172">
        <v>0</v>
      </c>
      <c r="M219" s="170"/>
      <c r="N219" s="171">
        <v>0</v>
      </c>
      <c r="O219" s="172">
        <v>0</v>
      </c>
      <c r="P219" s="170"/>
      <c r="Q219" s="171">
        <v>0</v>
      </c>
      <c r="S219" s="185" t="b">
        <v>1</v>
      </c>
    </row>
    <row r="220" spans="1:19" outlineLevel="1">
      <c r="A220" s="110"/>
      <c r="C220" s="347"/>
      <c r="D220" s="348"/>
      <c r="E220" s="349"/>
      <c r="F220" s="318"/>
      <c r="G220" s="319"/>
      <c r="H220" s="171">
        <v>-2009.764615</v>
      </c>
      <c r="I220" s="172">
        <v>-2151.40942</v>
      </c>
      <c r="J220" s="170"/>
      <c r="K220" s="171">
        <v>-2151.40942</v>
      </c>
      <c r="L220" s="172">
        <v>-3180.9553780000001</v>
      </c>
      <c r="M220" s="170">
        <v>-77</v>
      </c>
      <c r="N220" s="171">
        <v>-3257.9553780000001</v>
      </c>
      <c r="O220" s="172">
        <v>0</v>
      </c>
      <c r="P220" s="170">
        <v>9197</v>
      </c>
      <c r="Q220" s="171">
        <v>9197</v>
      </c>
      <c r="S220" s="185" t="b">
        <v>1</v>
      </c>
    </row>
    <row r="221" spans="1:19" outlineLevel="1">
      <c r="C221" s="347"/>
      <c r="D221" s="348"/>
      <c r="E221" s="349"/>
      <c r="F221" s="318"/>
      <c r="G221" s="319"/>
      <c r="H221" s="171">
        <v>-182290.81987469699</v>
      </c>
      <c r="I221" s="172">
        <v>-190065.88735616099</v>
      </c>
      <c r="J221" s="170"/>
      <c r="K221" s="171">
        <v>-190065.88735616099</v>
      </c>
      <c r="L221" s="172">
        <v>-190154.15464079901</v>
      </c>
      <c r="M221" s="170"/>
      <c r="N221" s="171">
        <v>-190154.15464079901</v>
      </c>
      <c r="O221" s="172">
        <v>0</v>
      </c>
      <c r="P221" s="170"/>
      <c r="Q221" s="171">
        <v>0</v>
      </c>
      <c r="S221" s="185" t="b">
        <v>1</v>
      </c>
    </row>
    <row r="222" spans="1:19" outlineLevel="1">
      <c r="C222" s="347"/>
      <c r="D222" s="348"/>
      <c r="E222" s="349"/>
      <c r="F222" s="318"/>
      <c r="G222" s="319"/>
      <c r="H222" s="171">
        <v>0</v>
      </c>
      <c r="I222" s="172">
        <v>0</v>
      </c>
      <c r="J222" s="170"/>
      <c r="K222" s="171">
        <v>0</v>
      </c>
      <c r="L222" s="172">
        <v>-153.354345</v>
      </c>
      <c r="M222" s="170"/>
      <c r="N222" s="171">
        <v>-153.354345</v>
      </c>
      <c r="O222" s="172">
        <v>0</v>
      </c>
      <c r="P222" s="170"/>
      <c r="Q222" s="171">
        <v>0</v>
      </c>
      <c r="S222" s="185" t="b">
        <v>1</v>
      </c>
    </row>
    <row r="223" spans="1:19" outlineLevel="1">
      <c r="C223" s="347"/>
      <c r="D223" s="348"/>
      <c r="E223" s="349"/>
      <c r="F223" s="318"/>
      <c r="G223" s="319"/>
      <c r="H223" s="171">
        <v>0</v>
      </c>
      <c r="I223" s="172">
        <v>0</v>
      </c>
      <c r="J223" s="170"/>
      <c r="K223" s="171">
        <v>0</v>
      </c>
      <c r="L223" s="172">
        <v>0</v>
      </c>
      <c r="M223" s="170"/>
      <c r="N223" s="171">
        <v>0</v>
      </c>
      <c r="O223" s="172">
        <v>0</v>
      </c>
      <c r="P223" s="170"/>
      <c r="Q223" s="171">
        <v>0</v>
      </c>
      <c r="S223" s="185" t="b">
        <v>1</v>
      </c>
    </row>
    <row r="224" spans="1:19" outlineLevel="1">
      <c r="C224" s="347"/>
      <c r="D224" s="348"/>
      <c r="E224" s="349"/>
      <c r="F224" s="318"/>
      <c r="G224" s="319"/>
      <c r="H224" s="171">
        <v>0</v>
      </c>
      <c r="I224" s="172">
        <v>0</v>
      </c>
      <c r="J224" s="170"/>
      <c r="K224" s="171">
        <v>0</v>
      </c>
      <c r="L224" s="172">
        <v>0</v>
      </c>
      <c r="M224" s="170"/>
      <c r="N224" s="171">
        <v>0</v>
      </c>
      <c r="O224" s="172">
        <v>0</v>
      </c>
      <c r="P224" s="170"/>
      <c r="Q224" s="171">
        <v>0</v>
      </c>
      <c r="S224" s="185" t="b">
        <v>1</v>
      </c>
    </row>
    <row r="225" spans="1:19" outlineLevel="1">
      <c r="C225" s="347"/>
      <c r="D225" s="348"/>
      <c r="E225" s="349"/>
      <c r="F225" s="318"/>
      <c r="G225" s="319"/>
      <c r="H225" s="171">
        <v>0</v>
      </c>
      <c r="I225" s="172">
        <v>0</v>
      </c>
      <c r="J225" s="170"/>
      <c r="K225" s="171">
        <v>0</v>
      </c>
      <c r="L225" s="172">
        <v>0</v>
      </c>
      <c r="M225" s="170">
        <v>334</v>
      </c>
      <c r="N225" s="171">
        <v>334</v>
      </c>
      <c r="O225" s="172">
        <v>0</v>
      </c>
      <c r="P225" s="170"/>
      <c r="Q225" s="171">
        <v>0</v>
      </c>
      <c r="S225" s="185" t="b">
        <v>1</v>
      </c>
    </row>
    <row r="226" spans="1:19" s="114" customFormat="1">
      <c r="B226" s="115"/>
      <c r="C226" s="320"/>
      <c r="D226" s="321"/>
      <c r="E226" s="322"/>
      <c r="F226" s="323"/>
      <c r="G226" s="324"/>
      <c r="H226" s="175">
        <v>-184300.58448969698</v>
      </c>
      <c r="I226" s="176">
        <v>-192217.29677616101</v>
      </c>
      <c r="J226" s="174">
        <v>0</v>
      </c>
      <c r="K226" s="175">
        <v>-192217.29677616101</v>
      </c>
      <c r="L226" s="176">
        <v>-193488.46436379902</v>
      </c>
      <c r="M226" s="174">
        <v>257</v>
      </c>
      <c r="N226" s="175">
        <v>-193231.46436379902</v>
      </c>
      <c r="O226" s="176">
        <v>0</v>
      </c>
      <c r="P226" s="174">
        <v>9197</v>
      </c>
      <c r="Q226" s="175">
        <v>9197</v>
      </c>
      <c r="R226" s="116"/>
      <c r="S226" s="185" t="e">
        <v>#REF!</v>
      </c>
    </row>
    <row r="227" spans="1:19">
      <c r="C227" s="347"/>
      <c r="D227" s="352"/>
      <c r="E227" s="352"/>
      <c r="F227" s="318"/>
      <c r="G227" s="337"/>
      <c r="S227" s="185" t="e">
        <v>#REF!</v>
      </c>
    </row>
    <row r="228" spans="1:19">
      <c r="C228" s="347"/>
      <c r="D228" s="352"/>
      <c r="E228" s="352"/>
      <c r="F228" s="318"/>
      <c r="G228" s="337"/>
      <c r="Q228" s="172">
        <v>-181591.06798361454</v>
      </c>
      <c r="S228" s="185" t="e">
        <v>#REF!</v>
      </c>
    </row>
    <row r="229" spans="1:19">
      <c r="C229" s="347"/>
      <c r="D229" s="352"/>
      <c r="E229" s="352"/>
      <c r="F229" s="318"/>
      <c r="G229" s="337"/>
      <c r="N229" s="172">
        <v>288810.43337300001</v>
      </c>
      <c r="Q229" s="178">
        <v>-181591.06798361454</v>
      </c>
      <c r="S229" s="185" t="e">
        <v>#REF!</v>
      </c>
    </row>
    <row r="230" spans="1:19" s="124" customFormat="1" ht="13.5" thickBot="1">
      <c r="C230" s="350"/>
      <c r="D230" s="351"/>
      <c r="E230" s="351"/>
      <c r="F230" s="335"/>
      <c r="G230" s="336"/>
      <c r="H230" s="177"/>
      <c r="I230" s="177"/>
      <c r="J230" s="177"/>
      <c r="K230" s="177"/>
      <c r="L230" s="177"/>
      <c r="M230" s="177"/>
      <c r="N230" s="179"/>
      <c r="O230" s="177"/>
      <c r="P230" s="177"/>
      <c r="Q230" s="177"/>
      <c r="R230" s="125"/>
      <c r="S230" s="185" t="e">
        <v>#REF!</v>
      </c>
    </row>
    <row r="231" spans="1:19" ht="13.5" thickTop="1">
      <c r="C231" s="347"/>
      <c r="D231" s="352"/>
      <c r="E231" s="352"/>
      <c r="F231" s="318"/>
      <c r="G231" s="337"/>
      <c r="S231" s="185" t="e">
        <v>#REF!</v>
      </c>
    </row>
    <row r="232" spans="1:19">
      <c r="C232" s="347"/>
      <c r="D232" s="348"/>
      <c r="E232" s="349"/>
      <c r="F232" s="318"/>
      <c r="G232" s="319"/>
      <c r="H232" s="171">
        <v>13050.935320245</v>
      </c>
      <c r="I232" s="172">
        <v>11015.049504303701</v>
      </c>
      <c r="J232" s="170"/>
      <c r="K232" s="171">
        <v>11015.049504303701</v>
      </c>
      <c r="L232" s="172">
        <v>75023.622736084799</v>
      </c>
      <c r="M232" s="170">
        <v>-172751</v>
      </c>
      <c r="N232" s="171">
        <v>-97727.377263915201</v>
      </c>
      <c r="O232" s="172">
        <v>0</v>
      </c>
      <c r="P232" s="170">
        <v>-148742</v>
      </c>
      <c r="Q232" s="171">
        <v>-148742</v>
      </c>
      <c r="S232" s="185" t="b">
        <v>1</v>
      </c>
    </row>
    <row r="233" spans="1:19" s="114" customFormat="1">
      <c r="C233" s="320"/>
      <c r="D233" s="338"/>
      <c r="E233" s="338"/>
      <c r="F233" s="323"/>
      <c r="G233" s="339"/>
      <c r="H233" s="176">
        <v>13050.935320245</v>
      </c>
      <c r="I233" s="176">
        <v>11015.049504303701</v>
      </c>
      <c r="J233" s="176">
        <v>0</v>
      </c>
      <c r="K233" s="176">
        <v>11015.049504303701</v>
      </c>
      <c r="L233" s="176">
        <v>75023.622736084799</v>
      </c>
      <c r="M233" s="176">
        <v>-172751</v>
      </c>
      <c r="N233" s="176">
        <v>-97727.377263915201</v>
      </c>
      <c r="O233" s="176">
        <v>0</v>
      </c>
      <c r="P233" s="176">
        <v>-148742</v>
      </c>
      <c r="Q233" s="176">
        <v>-148742</v>
      </c>
      <c r="R233" s="116"/>
      <c r="S233" s="185" t="b">
        <v>0</v>
      </c>
    </row>
    <row r="234" spans="1:19">
      <c r="A234" s="126"/>
      <c r="B234" s="126"/>
      <c r="C234" s="347"/>
      <c r="D234" s="348"/>
      <c r="E234" s="349"/>
      <c r="F234" s="318"/>
      <c r="G234" s="319"/>
      <c r="H234" s="171">
        <v>-156301.487627875</v>
      </c>
      <c r="I234" s="172">
        <v>-135509.27082399299</v>
      </c>
      <c r="J234" s="170"/>
      <c r="K234" s="171">
        <v>-135509.27082399299</v>
      </c>
      <c r="L234" s="172">
        <v>-116666.01974269</v>
      </c>
      <c r="M234" s="170"/>
      <c r="N234" s="171">
        <v>-116666.01974269</v>
      </c>
      <c r="O234" s="172">
        <v>0</v>
      </c>
      <c r="P234" s="170"/>
      <c r="Q234" s="171">
        <v>0</v>
      </c>
      <c r="S234" s="185" t="b">
        <v>0</v>
      </c>
    </row>
    <row r="235" spans="1:19">
      <c r="A235" s="126"/>
      <c r="B235" s="126"/>
      <c r="C235" s="347"/>
      <c r="D235" s="348"/>
      <c r="E235" s="349"/>
      <c r="F235" s="318"/>
      <c r="G235" s="319"/>
      <c r="H235" s="171">
        <v>-235294.81682174999</v>
      </c>
      <c r="I235" s="172">
        <v>-227898.99286599999</v>
      </c>
      <c r="J235" s="170"/>
      <c r="K235" s="171">
        <v>-227898.99286599999</v>
      </c>
      <c r="L235" s="172">
        <v>-212580.32575650001</v>
      </c>
      <c r="M235" s="170"/>
      <c r="N235" s="171">
        <v>-212580.32575650001</v>
      </c>
      <c r="O235" s="172">
        <v>0</v>
      </c>
      <c r="P235" s="170"/>
      <c r="Q235" s="171">
        <v>0</v>
      </c>
      <c r="S235" s="185" t="b">
        <v>0</v>
      </c>
    </row>
    <row r="236" spans="1:19">
      <c r="A236" s="126"/>
      <c r="B236" s="126"/>
      <c r="C236" s="347"/>
      <c r="D236" s="348"/>
      <c r="E236" s="349"/>
      <c r="F236" s="318"/>
      <c r="G236" s="319"/>
      <c r="H236" s="171">
        <v>41616.546658799998</v>
      </c>
      <c r="I236" s="172">
        <v>19925.697445000002</v>
      </c>
      <c r="J236" s="170"/>
      <c r="K236" s="171">
        <v>19925.697445000002</v>
      </c>
      <c r="L236" s="172">
        <v>19670.021044000001</v>
      </c>
      <c r="M236" s="170"/>
      <c r="N236" s="171">
        <v>19670.021044000001</v>
      </c>
      <c r="O236" s="172">
        <v>0</v>
      </c>
      <c r="P236" s="170"/>
      <c r="Q236" s="171">
        <v>0</v>
      </c>
      <c r="S236" s="185" t="b">
        <v>0</v>
      </c>
    </row>
    <row r="237" spans="1:19">
      <c r="C237" s="347"/>
      <c r="D237" s="348"/>
      <c r="E237" s="349"/>
      <c r="F237" s="318"/>
      <c r="G237" s="319"/>
      <c r="H237" s="171">
        <v>32495.846484000002</v>
      </c>
      <c r="I237" s="172">
        <v>18071.410919999998</v>
      </c>
      <c r="J237" s="170"/>
      <c r="K237" s="171">
        <v>18071.410919999998</v>
      </c>
      <c r="L237" s="172">
        <v>28468.656457680001</v>
      </c>
      <c r="M237" s="170"/>
      <c r="N237" s="171">
        <v>28468.656457680001</v>
      </c>
      <c r="O237" s="172">
        <v>0</v>
      </c>
      <c r="P237" s="170"/>
      <c r="Q237" s="171">
        <v>0</v>
      </c>
      <c r="S237" s="185" t="e">
        <v>#REF!</v>
      </c>
    </row>
    <row r="238" spans="1:19" s="114" customFormat="1">
      <c r="C238" s="320"/>
      <c r="D238" s="338"/>
      <c r="E238" s="338"/>
      <c r="F238" s="323"/>
      <c r="G238" s="339"/>
      <c r="H238" s="176">
        <v>-317483.911306825</v>
      </c>
      <c r="I238" s="176">
        <v>-325411.15532499296</v>
      </c>
      <c r="J238" s="176">
        <v>0</v>
      </c>
      <c r="K238" s="176">
        <v>-325411.15532499296</v>
      </c>
      <c r="L238" s="176">
        <v>-281107.66799751006</v>
      </c>
      <c r="M238" s="176">
        <v>0</v>
      </c>
      <c r="N238" s="176">
        <v>-281107.66799751006</v>
      </c>
      <c r="O238" s="176">
        <v>0</v>
      </c>
      <c r="P238" s="176">
        <v>0</v>
      </c>
      <c r="Q238" s="176">
        <v>0</v>
      </c>
      <c r="R238" s="116"/>
      <c r="S238" s="185" t="e">
        <v>#REF!</v>
      </c>
    </row>
    <row r="239" spans="1:19">
      <c r="C239" s="347"/>
      <c r="D239" s="348"/>
      <c r="E239" s="349"/>
      <c r="F239" s="318"/>
      <c r="G239" s="319"/>
      <c r="H239" s="171">
        <v>3030</v>
      </c>
      <c r="I239" s="172">
        <v>0</v>
      </c>
      <c r="J239" s="170"/>
      <c r="K239" s="171">
        <v>0</v>
      </c>
      <c r="L239" s="172">
        <v>0</v>
      </c>
      <c r="M239" s="170"/>
      <c r="N239" s="171">
        <v>0</v>
      </c>
      <c r="O239" s="172">
        <v>0</v>
      </c>
      <c r="P239" s="170"/>
      <c r="Q239" s="171">
        <v>0</v>
      </c>
      <c r="S239" s="185" t="e">
        <v>#REF!</v>
      </c>
    </row>
    <row r="240" spans="1:19" s="114" customFormat="1">
      <c r="C240" s="320"/>
      <c r="D240" s="338"/>
      <c r="E240" s="338"/>
      <c r="F240" s="323"/>
      <c r="G240" s="339"/>
      <c r="H240" s="176">
        <v>3030</v>
      </c>
      <c r="I240" s="176">
        <v>0</v>
      </c>
      <c r="J240" s="176">
        <v>0</v>
      </c>
      <c r="K240" s="176">
        <v>0</v>
      </c>
      <c r="L240" s="176">
        <v>0</v>
      </c>
      <c r="M240" s="176">
        <v>0</v>
      </c>
      <c r="N240" s="176">
        <v>0</v>
      </c>
      <c r="O240" s="176">
        <v>0</v>
      </c>
      <c r="P240" s="176">
        <v>0</v>
      </c>
      <c r="Q240" s="176">
        <v>0</v>
      </c>
      <c r="R240" s="116"/>
      <c r="S240" s="185" t="b">
        <v>0</v>
      </c>
    </row>
    <row r="241" spans="2:19">
      <c r="C241" s="347"/>
      <c r="D241" s="348"/>
      <c r="E241" s="349"/>
      <c r="F241" s="318"/>
      <c r="G241" s="319"/>
      <c r="H241" s="171">
        <v>5229.7954159999999</v>
      </c>
      <c r="I241" s="172">
        <v>2725.7355320000001</v>
      </c>
      <c r="J241" s="170"/>
      <c r="K241" s="171">
        <v>2725.7355320000001</v>
      </c>
      <c r="L241" s="172">
        <v>2236.9412870000001</v>
      </c>
      <c r="M241" s="170">
        <v>1669</v>
      </c>
      <c r="N241" s="171">
        <v>3905.9412870000001</v>
      </c>
      <c r="O241" s="172">
        <v>0</v>
      </c>
      <c r="P241" s="170">
        <v>-3233</v>
      </c>
      <c r="Q241" s="171">
        <v>-3233</v>
      </c>
      <c r="S241" s="185" t="b">
        <v>0</v>
      </c>
    </row>
    <row r="242" spans="2:19">
      <c r="C242" s="347"/>
      <c r="D242" s="348"/>
      <c r="E242" s="349"/>
      <c r="F242" s="318"/>
      <c r="G242" s="319"/>
      <c r="H242" s="171">
        <v>-63.38</v>
      </c>
      <c r="I242" s="172">
        <v>-75.11</v>
      </c>
      <c r="J242" s="170"/>
      <c r="K242" s="171">
        <v>-75.11</v>
      </c>
      <c r="L242" s="172">
        <v>0</v>
      </c>
      <c r="M242" s="170"/>
      <c r="N242" s="171">
        <v>0</v>
      </c>
      <c r="O242" s="172">
        <v>0</v>
      </c>
      <c r="P242" s="170"/>
      <c r="Q242" s="171">
        <v>0</v>
      </c>
      <c r="S242" s="185" t="b">
        <v>0</v>
      </c>
    </row>
    <row r="243" spans="2:19" s="114" customFormat="1">
      <c r="C243" s="320"/>
      <c r="D243" s="338"/>
      <c r="E243" s="338"/>
      <c r="F243" s="323"/>
      <c r="G243" s="339"/>
      <c r="H243" s="176">
        <v>5166.4154159999998</v>
      </c>
      <c r="I243" s="176">
        <v>2650.625532</v>
      </c>
      <c r="J243" s="176">
        <v>0</v>
      </c>
      <c r="K243" s="176">
        <v>2650.625532</v>
      </c>
      <c r="L243" s="176">
        <v>2236.9412870000001</v>
      </c>
      <c r="M243" s="176">
        <v>1669</v>
      </c>
      <c r="N243" s="176">
        <v>3905.9412870000001</v>
      </c>
      <c r="O243" s="176">
        <v>0</v>
      </c>
      <c r="P243" s="176">
        <v>-3233</v>
      </c>
      <c r="Q243" s="176">
        <v>-3233</v>
      </c>
      <c r="R243" s="116"/>
      <c r="S243" s="185" t="b">
        <v>0</v>
      </c>
    </row>
    <row r="244" spans="2:19" s="114" customFormat="1">
      <c r="B244" s="115"/>
      <c r="C244" s="320"/>
      <c r="D244" s="321"/>
      <c r="E244" s="322"/>
      <c r="F244" s="323"/>
      <c r="G244" s="324"/>
      <c r="H244" s="175">
        <v>-296236.56057058001</v>
      </c>
      <c r="I244" s="176">
        <v>-311745.48028868926</v>
      </c>
      <c r="J244" s="174">
        <v>0</v>
      </c>
      <c r="K244" s="175">
        <v>-311745.48028868926</v>
      </c>
      <c r="L244" s="176">
        <v>-203847.10397442526</v>
      </c>
      <c r="M244" s="174">
        <v>-171082</v>
      </c>
      <c r="N244" s="175">
        <v>-374929.10397442523</v>
      </c>
      <c r="O244" s="176">
        <v>0</v>
      </c>
      <c r="P244" s="174">
        <v>-151975</v>
      </c>
      <c r="Q244" s="175">
        <v>-151975</v>
      </c>
      <c r="R244" s="116"/>
      <c r="S244" s="185" t="b">
        <v>0</v>
      </c>
    </row>
    <row r="245" spans="2:19">
      <c r="C245" s="347"/>
      <c r="D245" s="352"/>
      <c r="E245" s="352"/>
      <c r="F245" s="318"/>
      <c r="G245" s="337"/>
      <c r="S245" s="185" t="b">
        <v>0</v>
      </c>
    </row>
    <row r="246" spans="2:19">
      <c r="C246" s="347"/>
      <c r="D246" s="352"/>
      <c r="E246" s="352"/>
      <c r="F246" s="318"/>
      <c r="G246" s="337"/>
      <c r="S246" s="185" t="e">
        <v>#REF!</v>
      </c>
    </row>
    <row r="247" spans="2:19">
      <c r="C247" s="347"/>
      <c r="D247" s="348"/>
      <c r="E247" s="349"/>
      <c r="F247" s="318"/>
      <c r="G247" s="319"/>
      <c r="H247" s="171">
        <v>-16346.752948708699</v>
      </c>
      <c r="I247" s="172">
        <v>-4397.4197504936901</v>
      </c>
      <c r="J247" s="170"/>
      <c r="K247" s="171">
        <v>-4397.4197504936901</v>
      </c>
      <c r="L247" s="172">
        <v>13229.644721612</v>
      </c>
      <c r="M247" s="170"/>
      <c r="N247" s="171">
        <v>13229.644721612</v>
      </c>
      <c r="O247" s="172">
        <v>0</v>
      </c>
      <c r="P247" s="170"/>
      <c r="Q247" s="171">
        <v>0</v>
      </c>
      <c r="S247" s="185" t="e">
        <v>#REF!</v>
      </c>
    </row>
    <row r="248" spans="2:19">
      <c r="C248" s="347"/>
      <c r="D248" s="348"/>
      <c r="E248" s="349"/>
      <c r="F248" s="318"/>
      <c r="G248" s="319"/>
      <c r="H248" s="171">
        <v>473.66365200000001</v>
      </c>
      <c r="I248" s="172">
        <v>-168.76400000000001</v>
      </c>
      <c r="J248" s="170"/>
      <c r="K248" s="171">
        <v>-168.76400000000001</v>
      </c>
      <c r="L248" s="172">
        <v>-363</v>
      </c>
      <c r="M248" s="170"/>
      <c r="N248" s="171">
        <v>-363</v>
      </c>
      <c r="O248" s="172">
        <v>0</v>
      </c>
      <c r="P248" s="170"/>
      <c r="Q248" s="171">
        <v>0</v>
      </c>
      <c r="S248" s="185" t="b">
        <v>0</v>
      </c>
    </row>
    <row r="249" spans="2:19">
      <c r="C249" s="347"/>
      <c r="D249" s="348"/>
      <c r="E249" s="349"/>
      <c r="F249" s="318"/>
      <c r="G249" s="319"/>
      <c r="H249" s="171">
        <v>1512.5304100000001</v>
      </c>
      <c r="I249" s="172">
        <v>981.23312950000002</v>
      </c>
      <c r="J249" s="170"/>
      <c r="K249" s="171">
        <v>981.23312950000002</v>
      </c>
      <c r="L249" s="172">
        <v>1329.6677354824001</v>
      </c>
      <c r="M249" s="170"/>
      <c r="N249" s="171">
        <v>1329.6677354824001</v>
      </c>
      <c r="O249" s="172">
        <v>0</v>
      </c>
      <c r="P249" s="170"/>
      <c r="Q249" s="171">
        <v>0</v>
      </c>
    </row>
    <row r="250" spans="2:19">
      <c r="C250" s="347"/>
      <c r="D250" s="348"/>
      <c r="E250" s="349"/>
      <c r="F250" s="318"/>
      <c r="G250" s="319"/>
      <c r="H250" s="171">
        <v>-1650.7507989999999</v>
      </c>
      <c r="I250" s="172">
        <v>-321.77900199999999</v>
      </c>
      <c r="J250" s="170"/>
      <c r="K250" s="171">
        <v>-321.77900199999999</v>
      </c>
      <c r="L250" s="172">
        <v>-1526.8248570000001</v>
      </c>
      <c r="M250" s="170"/>
      <c r="N250" s="171">
        <v>-1526.8248570000001</v>
      </c>
      <c r="O250" s="172">
        <v>0</v>
      </c>
      <c r="P250" s="170"/>
      <c r="Q250" s="171">
        <v>0</v>
      </c>
    </row>
    <row r="251" spans="2:19" s="114" customFormat="1">
      <c r="C251" s="320"/>
      <c r="D251" s="338"/>
      <c r="E251" s="338"/>
      <c r="F251" s="323"/>
      <c r="G251" s="339"/>
      <c r="H251" s="176">
        <v>-16011.3096857087</v>
      </c>
      <c r="I251" s="176">
        <v>-3906.7296229936901</v>
      </c>
      <c r="J251" s="176">
        <v>0</v>
      </c>
      <c r="K251" s="176">
        <v>-3906.7296229936901</v>
      </c>
      <c r="L251" s="176">
        <v>12669.4876000944</v>
      </c>
      <c r="M251" s="176">
        <v>0</v>
      </c>
      <c r="N251" s="176">
        <v>12669.4876000944</v>
      </c>
      <c r="O251" s="176">
        <v>0</v>
      </c>
      <c r="P251" s="176">
        <v>0</v>
      </c>
      <c r="Q251" s="176">
        <v>0</v>
      </c>
      <c r="R251" s="116"/>
      <c r="S251" s="116"/>
    </row>
    <row r="252" spans="2:19">
      <c r="C252" s="347"/>
      <c r="D252" s="348"/>
      <c r="E252" s="349"/>
      <c r="F252" s="318"/>
      <c r="G252" s="319"/>
      <c r="H252" s="171">
        <v>-16060.0743095</v>
      </c>
      <c r="I252" s="172">
        <v>-5195.585986</v>
      </c>
      <c r="J252" s="170"/>
      <c r="K252" s="171">
        <v>-5195.585986</v>
      </c>
      <c r="L252" s="172">
        <v>-2998.726948</v>
      </c>
      <c r="M252" s="170"/>
      <c r="N252" s="171">
        <v>-2998.726948</v>
      </c>
      <c r="O252" s="172">
        <v>0</v>
      </c>
      <c r="P252" s="170"/>
      <c r="Q252" s="171">
        <v>0</v>
      </c>
    </row>
    <row r="253" spans="2:19">
      <c r="C253" s="347"/>
      <c r="D253" s="348"/>
      <c r="E253" s="349"/>
      <c r="F253" s="318"/>
      <c r="G253" s="319"/>
      <c r="H253" s="171">
        <v>3026</v>
      </c>
      <c r="I253" s="172">
        <v>6940</v>
      </c>
      <c r="J253" s="170"/>
      <c r="K253" s="171">
        <v>6940</v>
      </c>
      <c r="L253" s="172">
        <v>2887.7530390000002</v>
      </c>
      <c r="M253" s="170"/>
      <c r="N253" s="171">
        <v>2887.7530390000002</v>
      </c>
      <c r="O253" s="172">
        <v>0</v>
      </c>
      <c r="P253" s="170"/>
      <c r="Q253" s="171">
        <v>0</v>
      </c>
    </row>
    <row r="254" spans="2:19" s="114" customFormat="1">
      <c r="C254" s="320"/>
      <c r="D254" s="338"/>
      <c r="E254" s="338"/>
      <c r="F254" s="323"/>
      <c r="G254" s="339"/>
      <c r="H254" s="176">
        <v>-13034.0743095</v>
      </c>
      <c r="I254" s="176">
        <v>1744.414014</v>
      </c>
      <c r="J254" s="176">
        <v>0</v>
      </c>
      <c r="K254" s="176">
        <v>1744.414014</v>
      </c>
      <c r="L254" s="176">
        <v>-110.97390899999982</v>
      </c>
      <c r="M254" s="176">
        <v>0</v>
      </c>
      <c r="N254" s="176">
        <v>-110.97390899999982</v>
      </c>
      <c r="O254" s="176">
        <v>0</v>
      </c>
      <c r="P254" s="176">
        <v>0</v>
      </c>
      <c r="Q254" s="176">
        <v>0</v>
      </c>
      <c r="R254" s="116"/>
      <c r="S254" s="116"/>
    </row>
    <row r="255" spans="2:19" s="114" customFormat="1">
      <c r="B255" s="115"/>
      <c r="C255" s="320"/>
      <c r="D255" s="321"/>
      <c r="E255" s="322"/>
      <c r="F255" s="323"/>
      <c r="G255" s="324"/>
      <c r="H255" s="175">
        <v>-29045.3839952087</v>
      </c>
      <c r="I255" s="176">
        <v>-2162.3156089936901</v>
      </c>
      <c r="J255" s="174">
        <v>0</v>
      </c>
      <c r="K255" s="175">
        <v>-2162.3156089936901</v>
      </c>
      <c r="L255" s="176">
        <v>12558.5136910944</v>
      </c>
      <c r="M255" s="174">
        <v>0</v>
      </c>
      <c r="N255" s="175">
        <v>12558.5136910944</v>
      </c>
      <c r="O255" s="176">
        <v>0</v>
      </c>
      <c r="P255" s="174">
        <v>0</v>
      </c>
      <c r="Q255" s="175">
        <v>0</v>
      </c>
      <c r="R255" s="116"/>
      <c r="S255" s="118"/>
    </row>
    <row r="256" spans="2:19">
      <c r="C256" s="347"/>
      <c r="D256" s="352"/>
      <c r="E256" s="352"/>
      <c r="F256" s="318"/>
      <c r="G256" s="337"/>
    </row>
    <row r="257" spans="2:19">
      <c r="C257" s="347"/>
      <c r="D257" s="348"/>
      <c r="E257" s="349"/>
      <c r="F257" s="318"/>
      <c r="G257" s="319"/>
      <c r="H257" s="171">
        <v>3336.9009270000001</v>
      </c>
      <c r="I257" s="172">
        <v>-1911.6424039999999</v>
      </c>
      <c r="J257" s="170"/>
      <c r="K257" s="171">
        <v>-1911.6424039999999</v>
      </c>
      <c r="L257" s="172">
        <v>-983.35446400000001</v>
      </c>
      <c r="M257" s="170"/>
      <c r="N257" s="171">
        <v>-983.35446400000001</v>
      </c>
      <c r="O257" s="172">
        <v>0</v>
      </c>
      <c r="P257" s="170"/>
      <c r="Q257" s="171">
        <v>0</v>
      </c>
    </row>
    <row r="258" spans="2:19" s="114" customFormat="1">
      <c r="B258" s="115"/>
      <c r="C258" s="320"/>
      <c r="D258" s="321"/>
      <c r="E258" s="322"/>
      <c r="F258" s="323"/>
      <c r="G258" s="324"/>
      <c r="H258" s="175">
        <v>3336.9009270000001</v>
      </c>
      <c r="I258" s="176">
        <v>-1911.6424039999999</v>
      </c>
      <c r="J258" s="174">
        <v>0</v>
      </c>
      <c r="K258" s="175">
        <v>-1911.6424039999999</v>
      </c>
      <c r="L258" s="176">
        <v>-983.35446400000001</v>
      </c>
      <c r="M258" s="174">
        <v>0</v>
      </c>
      <c r="N258" s="175">
        <v>-983.35446400000001</v>
      </c>
      <c r="O258" s="176">
        <v>0</v>
      </c>
      <c r="P258" s="174">
        <v>0</v>
      </c>
      <c r="Q258" s="175">
        <v>0</v>
      </c>
      <c r="R258" s="116"/>
      <c r="S258" s="118"/>
    </row>
    <row r="259" spans="2:19">
      <c r="C259" s="347"/>
      <c r="D259" s="352"/>
      <c r="E259" s="352"/>
      <c r="F259" s="318"/>
      <c r="G259" s="337"/>
    </row>
    <row r="260" spans="2:19">
      <c r="C260" s="347"/>
      <c r="D260" s="348"/>
      <c r="E260" s="349"/>
      <c r="F260" s="318"/>
      <c r="G260" s="319"/>
      <c r="H260" s="171">
        <v>153083.487627875</v>
      </c>
      <c r="I260" s="172">
        <v>159108.628923993</v>
      </c>
      <c r="J260" s="170"/>
      <c r="K260" s="171">
        <v>159108.628923993</v>
      </c>
      <c r="L260" s="172">
        <v>138257.64434269001</v>
      </c>
      <c r="M260" s="170"/>
      <c r="N260" s="171">
        <v>138257.64434269001</v>
      </c>
      <c r="O260" s="172">
        <v>0</v>
      </c>
      <c r="P260" s="170"/>
      <c r="Q260" s="171">
        <v>0</v>
      </c>
    </row>
    <row r="261" spans="2:19">
      <c r="C261" s="347"/>
      <c r="D261" s="348"/>
      <c r="E261" s="349"/>
      <c r="F261" s="318"/>
      <c r="G261" s="319"/>
      <c r="H261" s="171">
        <v>473.66365200000001</v>
      </c>
      <c r="I261" s="172">
        <v>-168.76400000000001</v>
      </c>
      <c r="J261" s="170"/>
      <c r="K261" s="171">
        <v>-168.76400000000001</v>
      </c>
      <c r="L261" s="172">
        <v>-363</v>
      </c>
      <c r="M261" s="170"/>
      <c r="N261" s="171">
        <v>-363</v>
      </c>
      <c r="O261" s="172">
        <v>0</v>
      </c>
      <c r="P261" s="170"/>
      <c r="Q261" s="171">
        <v>0</v>
      </c>
    </row>
    <row r="262" spans="2:19">
      <c r="C262" s="347"/>
      <c r="D262" s="348"/>
      <c r="E262" s="349"/>
      <c r="F262" s="318"/>
      <c r="G262" s="319"/>
      <c r="H262" s="171">
        <v>1512.5304100000001</v>
      </c>
      <c r="I262" s="172">
        <v>981.23312950000002</v>
      </c>
      <c r="J262" s="170"/>
      <c r="K262" s="171">
        <v>981.23312950000002</v>
      </c>
      <c r="L262" s="172">
        <v>1329.6677354824001</v>
      </c>
      <c r="M262" s="170"/>
      <c r="N262" s="171">
        <v>1329.6677354824001</v>
      </c>
      <c r="O262" s="172">
        <v>0</v>
      </c>
      <c r="P262" s="170"/>
      <c r="Q262" s="171">
        <v>0</v>
      </c>
    </row>
    <row r="263" spans="2:19">
      <c r="C263" s="347"/>
      <c r="D263" s="348"/>
      <c r="E263" s="349"/>
      <c r="F263" s="318"/>
      <c r="G263" s="319"/>
      <c r="H263" s="171">
        <v>-1650.7507989999999</v>
      </c>
      <c r="I263" s="172">
        <v>-321.77900199999999</v>
      </c>
      <c r="J263" s="170"/>
      <c r="K263" s="171">
        <v>-321.77900199999999</v>
      </c>
      <c r="L263" s="172">
        <v>-1526.8248570000001</v>
      </c>
      <c r="M263" s="170"/>
      <c r="N263" s="171">
        <v>-1526.8248570000001</v>
      </c>
      <c r="O263" s="172">
        <v>0</v>
      </c>
      <c r="P263" s="170"/>
      <c r="Q263" s="171">
        <v>0</v>
      </c>
    </row>
    <row r="264" spans="2:19" s="114" customFormat="1">
      <c r="C264" s="320"/>
      <c r="D264" s="338"/>
      <c r="E264" s="338"/>
      <c r="F264" s="323"/>
      <c r="G264" s="339"/>
      <c r="H264" s="176">
        <v>153418.930890875</v>
      </c>
      <c r="I264" s="176">
        <v>159599.31905149302</v>
      </c>
      <c r="J264" s="176">
        <v>0</v>
      </c>
      <c r="K264" s="176">
        <v>159599.31905149302</v>
      </c>
      <c r="L264" s="176">
        <v>137697.4872211724</v>
      </c>
      <c r="M264" s="176">
        <v>0</v>
      </c>
      <c r="N264" s="176">
        <v>137697.4872211724</v>
      </c>
      <c r="O264" s="176">
        <v>0</v>
      </c>
      <c r="P264" s="176">
        <v>0</v>
      </c>
      <c r="Q264" s="176">
        <v>0</v>
      </c>
      <c r="R264" s="116"/>
      <c r="S264" s="116"/>
    </row>
    <row r="265" spans="2:19">
      <c r="C265" s="347"/>
      <c r="D265" s="348"/>
      <c r="E265" s="349"/>
      <c r="F265" s="318"/>
      <c r="G265" s="319"/>
      <c r="H265" s="171">
        <v>-16060.0743095</v>
      </c>
      <c r="I265" s="172">
        <v>-5195.585986</v>
      </c>
      <c r="J265" s="170"/>
      <c r="K265" s="171">
        <v>-5195.585986</v>
      </c>
      <c r="L265" s="172">
        <v>-2998.726948</v>
      </c>
      <c r="M265" s="170"/>
      <c r="N265" s="171">
        <v>-2998.726948</v>
      </c>
      <c r="O265" s="172">
        <v>0</v>
      </c>
      <c r="P265" s="170"/>
      <c r="Q265" s="171">
        <v>0</v>
      </c>
    </row>
    <row r="266" spans="2:19">
      <c r="C266" s="347"/>
      <c r="D266" s="348"/>
      <c r="E266" s="349"/>
      <c r="F266" s="318"/>
      <c r="G266" s="319"/>
      <c r="H266" s="171">
        <v>3026</v>
      </c>
      <c r="I266" s="172">
        <v>6940</v>
      </c>
      <c r="J266" s="170"/>
      <c r="K266" s="171">
        <v>6940</v>
      </c>
      <c r="L266" s="172">
        <v>2887.7530390000002</v>
      </c>
      <c r="M266" s="170"/>
      <c r="N266" s="171">
        <v>2887.7530390000002</v>
      </c>
      <c r="O266" s="172">
        <v>0</v>
      </c>
      <c r="P266" s="170"/>
      <c r="Q266" s="171">
        <v>0</v>
      </c>
    </row>
    <row r="267" spans="2:19" s="114" customFormat="1">
      <c r="C267" s="320"/>
      <c r="D267" s="338"/>
      <c r="E267" s="338"/>
      <c r="F267" s="323"/>
      <c r="G267" s="339"/>
      <c r="H267" s="176">
        <v>-13034.0743095</v>
      </c>
      <c r="I267" s="176">
        <v>1744.414014</v>
      </c>
      <c r="J267" s="176">
        <v>0</v>
      </c>
      <c r="K267" s="176">
        <v>1744.414014</v>
      </c>
      <c r="L267" s="176">
        <v>-110.97390899999982</v>
      </c>
      <c r="M267" s="176">
        <v>0</v>
      </c>
      <c r="N267" s="176">
        <v>-110.97390899999982</v>
      </c>
      <c r="O267" s="176">
        <v>0</v>
      </c>
      <c r="P267" s="176">
        <v>0</v>
      </c>
      <c r="Q267" s="176">
        <v>0</v>
      </c>
      <c r="R267" s="116"/>
      <c r="S267" s="116"/>
    </row>
    <row r="268" spans="2:19" s="114" customFormat="1">
      <c r="B268" s="115"/>
      <c r="C268" s="320"/>
      <c r="D268" s="321"/>
      <c r="E268" s="322"/>
      <c r="F268" s="323"/>
      <c r="G268" s="324"/>
      <c r="H268" s="175">
        <v>140384.856581375</v>
      </c>
      <c r="I268" s="176">
        <v>161343.73306549303</v>
      </c>
      <c r="J268" s="174">
        <v>0</v>
      </c>
      <c r="K268" s="175">
        <v>161343.73306549303</v>
      </c>
      <c r="L268" s="176">
        <v>137586.51331217241</v>
      </c>
      <c r="M268" s="174">
        <v>0</v>
      </c>
      <c r="N268" s="175">
        <v>137586.51331217241</v>
      </c>
      <c r="O268" s="176">
        <v>0</v>
      </c>
      <c r="P268" s="174">
        <v>0</v>
      </c>
      <c r="Q268" s="175">
        <v>0</v>
      </c>
      <c r="R268" s="116"/>
      <c r="S268" s="118"/>
    </row>
  </sheetData>
  <phoneticPr fontId="32" type="noConversion"/>
  <pageMargins left="0.9055118110236221" right="0" top="0" bottom="0" header="0" footer="0"/>
  <pageSetup paperSize="9" scale="55" fitToHeight="0" orientation="portrait" r:id="rId1"/>
  <headerFooter alignWithMargins="0">
    <oddFooter>&amp;C&amp;D&amp;T&amp;R&amp;F&amp;A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AL195"/>
  <sheetViews>
    <sheetView topLeftCell="A8" workbookViewId="0"/>
  </sheetViews>
  <sheetFormatPr baseColWidth="10" defaultColWidth="27.140625" defaultRowHeight="12.75" outlineLevelRow="1" outlineLevelCol="1"/>
  <cols>
    <col min="1" max="1" width="16.28515625" customWidth="1"/>
    <col min="2" max="2" width="36.7109375" bestFit="1" customWidth="1"/>
    <col min="3" max="5" width="9.7109375" customWidth="1"/>
    <col min="6" max="6" width="1.140625" customWidth="1"/>
    <col min="7" max="9" width="9.7109375" customWidth="1"/>
    <col min="10" max="10" width="1.140625" customWidth="1"/>
    <col min="11" max="13" width="9.7109375" style="135" hidden="1" customWidth="1" outlineLevel="1"/>
    <col min="14" max="14" width="1.140625" style="135" hidden="1" customWidth="1" outlineLevel="1"/>
    <col min="15" max="17" width="9.7109375" style="135" hidden="1" customWidth="1" outlineLevel="1"/>
    <col min="18" max="18" width="1.140625" hidden="1" customWidth="1" outlineLevel="1"/>
    <col min="19" max="19" width="11.5703125" hidden="1" customWidth="1" outlineLevel="1"/>
    <col min="20" max="20" width="9.7109375" customWidth="1" collapsed="1"/>
    <col min="21" max="21" width="11.5703125" customWidth="1"/>
    <col min="22" max="22" width="1.140625" customWidth="1"/>
    <col min="23" max="23" width="10" customWidth="1"/>
    <col min="24" max="25" width="9.7109375" customWidth="1"/>
    <col min="26" max="26" width="1.140625" customWidth="1"/>
    <col min="27" max="29" width="9.7109375" customWidth="1"/>
    <col min="30" max="30" width="1.140625" customWidth="1"/>
    <col min="31" max="33" width="9.7109375" customWidth="1"/>
    <col min="34" max="34" width="1.140625" customWidth="1"/>
    <col min="35" max="37" width="9.7109375" customWidth="1"/>
  </cols>
  <sheetData>
    <row r="1" spans="1:18" hidden="1" outlineLevel="1">
      <c r="C1" s="16" t="s">
        <v>273</v>
      </c>
      <c r="D1" s="27"/>
      <c r="E1" s="27"/>
      <c r="F1" s="27"/>
      <c r="G1" s="16" t="s">
        <v>273</v>
      </c>
      <c r="H1" s="27"/>
      <c r="I1" s="27"/>
      <c r="J1" s="27"/>
      <c r="K1" s="133" t="s">
        <v>273</v>
      </c>
      <c r="L1" s="134"/>
      <c r="M1" s="134"/>
      <c r="O1" s="133" t="s">
        <v>336</v>
      </c>
      <c r="P1" s="134"/>
      <c r="Q1" s="134"/>
      <c r="R1" s="27"/>
    </row>
    <row r="2" spans="1:18" hidden="1" outlineLevel="1">
      <c r="C2" s="16" t="s">
        <v>309</v>
      </c>
      <c r="D2" s="27"/>
      <c r="E2" s="27"/>
      <c r="F2" s="27"/>
      <c r="G2" s="16" t="s">
        <v>309</v>
      </c>
      <c r="H2" s="27"/>
      <c r="I2" s="27"/>
      <c r="J2" s="27"/>
      <c r="K2" s="133" t="s">
        <v>309</v>
      </c>
      <c r="L2" s="134"/>
      <c r="M2" s="134"/>
      <c r="O2" s="133" t="s">
        <v>309</v>
      </c>
      <c r="P2" s="134"/>
      <c r="Q2" s="134"/>
      <c r="R2" s="27"/>
    </row>
    <row r="3" spans="1:18" hidden="1" outlineLevel="1">
      <c r="C3" s="16" t="s">
        <v>288</v>
      </c>
      <c r="D3" s="27"/>
      <c r="E3" s="27"/>
      <c r="F3" s="27"/>
      <c r="G3" s="16" t="s">
        <v>303</v>
      </c>
      <c r="H3" s="27"/>
      <c r="I3" s="27"/>
      <c r="J3" s="27"/>
      <c r="K3" s="133" t="s">
        <v>275</v>
      </c>
      <c r="L3" s="134"/>
      <c r="M3" s="134"/>
      <c r="O3" s="133"/>
      <c r="P3" s="134"/>
      <c r="Q3" s="134"/>
      <c r="R3" s="27"/>
    </row>
    <row r="4" spans="1:18" hidden="1" outlineLevel="1">
      <c r="C4" s="16" t="s">
        <v>289</v>
      </c>
      <c r="D4" s="27"/>
      <c r="E4" s="27"/>
      <c r="F4" s="27"/>
      <c r="G4" s="16" t="s">
        <v>304</v>
      </c>
      <c r="H4" s="27"/>
      <c r="I4" s="27"/>
      <c r="J4" s="27"/>
      <c r="K4" s="133" t="s">
        <v>278</v>
      </c>
      <c r="L4" s="134"/>
      <c r="M4" s="134"/>
      <c r="O4" s="133"/>
      <c r="P4" s="134"/>
      <c r="Q4" s="134"/>
      <c r="R4" s="27"/>
    </row>
    <row r="5" spans="1:18" hidden="1" outlineLevel="1">
      <c r="C5" s="16" t="s">
        <v>274</v>
      </c>
      <c r="D5" s="27"/>
      <c r="E5" s="27"/>
      <c r="F5" s="27"/>
      <c r="G5" s="16" t="s">
        <v>274</v>
      </c>
      <c r="H5" s="27"/>
      <c r="I5" s="27"/>
      <c r="J5" s="27"/>
      <c r="K5" s="133" t="s">
        <v>285</v>
      </c>
      <c r="L5" s="134"/>
      <c r="M5" s="134"/>
      <c r="O5" s="133" t="s">
        <v>285</v>
      </c>
      <c r="P5" s="134"/>
      <c r="Q5" s="134"/>
      <c r="R5" s="27"/>
    </row>
    <row r="6" spans="1:18" hidden="1" outlineLevel="1">
      <c r="C6" s="16" t="s">
        <v>271</v>
      </c>
      <c r="D6" s="27"/>
      <c r="E6" s="27"/>
      <c r="F6" s="27"/>
      <c r="G6" s="16" t="s">
        <v>271</v>
      </c>
      <c r="H6" s="27"/>
      <c r="I6" s="27"/>
      <c r="J6" s="27"/>
      <c r="K6" s="133" t="s">
        <v>271</v>
      </c>
      <c r="L6" s="134"/>
      <c r="M6" s="134"/>
      <c r="O6" s="133" t="s">
        <v>271</v>
      </c>
      <c r="P6" s="134"/>
      <c r="Q6" s="134"/>
      <c r="R6" s="27"/>
    </row>
    <row r="7" spans="1:18" hidden="1" outlineLevel="1">
      <c r="C7" s="16" t="s">
        <v>272</v>
      </c>
      <c r="D7" s="27"/>
      <c r="E7" s="27"/>
      <c r="F7" s="27"/>
      <c r="G7" s="16" t="s">
        <v>272</v>
      </c>
      <c r="H7" s="27"/>
      <c r="I7" s="27"/>
      <c r="J7" s="27"/>
      <c r="K7" s="133" t="s">
        <v>272</v>
      </c>
      <c r="L7" s="134"/>
      <c r="M7" s="134"/>
      <c r="O7" s="133" t="s">
        <v>272</v>
      </c>
      <c r="P7" s="134"/>
      <c r="Q7" s="134"/>
      <c r="R7" s="27"/>
    </row>
    <row r="8" spans="1:18" collapsed="1">
      <c r="B8" s="2"/>
      <c r="C8" s="30" t="s">
        <v>287</v>
      </c>
      <c r="D8" s="28"/>
      <c r="E8" s="31"/>
      <c r="F8" s="26"/>
      <c r="G8" s="29" t="s">
        <v>0</v>
      </c>
      <c r="H8" s="28"/>
      <c r="I8" s="28"/>
      <c r="J8" s="26"/>
      <c r="K8" s="136" t="s">
        <v>319</v>
      </c>
      <c r="L8" s="137"/>
      <c r="M8" s="138"/>
      <c r="N8" s="139"/>
      <c r="O8" s="136" t="s">
        <v>1</v>
      </c>
      <c r="P8" s="137"/>
      <c r="Q8" s="138"/>
      <c r="R8" s="26"/>
    </row>
    <row r="9" spans="1:18">
      <c r="B9" s="3" t="s">
        <v>2</v>
      </c>
      <c r="C9" s="4" t="s">
        <v>307</v>
      </c>
      <c r="D9" s="4" t="s">
        <v>276</v>
      </c>
      <c r="E9" s="4" t="s">
        <v>5</v>
      </c>
      <c r="F9" s="4"/>
      <c r="G9" s="4" t="s">
        <v>277</v>
      </c>
      <c r="H9" s="4" t="s">
        <v>276</v>
      </c>
      <c r="I9" s="4" t="s">
        <v>5</v>
      </c>
      <c r="J9" s="4"/>
      <c r="K9" s="140" t="s">
        <v>277</v>
      </c>
      <c r="L9" s="140" t="s">
        <v>276</v>
      </c>
      <c r="M9" s="140" t="s">
        <v>5</v>
      </c>
      <c r="N9" s="140"/>
      <c r="O9" s="140" t="s">
        <v>277</v>
      </c>
      <c r="P9" s="140" t="s">
        <v>276</v>
      </c>
      <c r="Q9" s="140" t="s">
        <v>5</v>
      </c>
      <c r="R9" s="4"/>
    </row>
    <row r="10" spans="1:18">
      <c r="B10" s="5"/>
      <c r="C10" s="6"/>
      <c r="D10" s="32"/>
      <c r="E10" s="6"/>
      <c r="F10" s="6"/>
      <c r="G10" s="6"/>
      <c r="H10" s="32"/>
      <c r="I10" s="6"/>
      <c r="J10" s="6"/>
      <c r="K10" s="141"/>
      <c r="L10" s="142"/>
      <c r="M10" s="141"/>
      <c r="N10" s="141"/>
      <c r="O10" s="141"/>
      <c r="P10" s="142"/>
      <c r="Q10" s="141"/>
      <c r="R10" s="6"/>
    </row>
    <row r="11" spans="1:18">
      <c r="A11" t="s">
        <v>11</v>
      </c>
      <c r="B11" t="s">
        <v>12</v>
      </c>
      <c r="C11" s="6">
        <v>18483.766275165599</v>
      </c>
      <c r="D11" s="32"/>
      <c r="E11" s="6">
        <f t="shared" ref="E11:E42" si="0">SUM(C11:D11)</f>
        <v>18483.766275165599</v>
      </c>
      <c r="F11" s="6"/>
      <c r="G11" s="6">
        <v>18454.328236584199</v>
      </c>
      <c r="H11" s="32"/>
      <c r="I11" s="6">
        <f t="shared" ref="I11:I76" si="1">SUM(G11:H11)</f>
        <v>18454.328236584199</v>
      </c>
      <c r="J11" s="6"/>
      <c r="K11" s="141">
        <v>18709.588761843799</v>
      </c>
      <c r="L11" s="142"/>
      <c r="M11" s="141">
        <f t="shared" ref="M11:M76" si="2">SUM(K11:L11)</f>
        <v>18709.588761843799</v>
      </c>
      <c r="N11" s="141"/>
      <c r="O11" s="141">
        <v>18709.588761843799</v>
      </c>
      <c r="P11" s="142"/>
      <c r="Q11" s="141">
        <f t="shared" ref="Q11:Q42" si="3">SUM(O11:P11)</f>
        <v>18709.588761843799</v>
      </c>
      <c r="R11" s="6"/>
    </row>
    <row r="12" spans="1:18">
      <c r="A12" t="s">
        <v>13</v>
      </c>
      <c r="B12" t="s">
        <v>14</v>
      </c>
      <c r="C12" s="6">
        <v>-2.3492713699294501</v>
      </c>
      <c r="D12" s="32"/>
      <c r="E12" s="6">
        <f t="shared" si="0"/>
        <v>-2.3492713699294501</v>
      </c>
      <c r="F12" s="6"/>
      <c r="G12" s="6">
        <v>-2.3492713699294501</v>
      </c>
      <c r="H12" s="32"/>
      <c r="I12" s="6">
        <f t="shared" si="1"/>
        <v>-2.3492713699294501</v>
      </c>
      <c r="J12" s="6"/>
      <c r="K12" s="141">
        <v>-25.349271369929401</v>
      </c>
      <c r="L12" s="142"/>
      <c r="M12" s="141">
        <f t="shared" si="2"/>
        <v>-25.349271369929401</v>
      </c>
      <c r="N12" s="141"/>
      <c r="O12" s="141">
        <v>-25.349271369929401</v>
      </c>
      <c r="P12" s="142"/>
      <c r="Q12" s="141">
        <f t="shared" si="3"/>
        <v>-25.349271369929401</v>
      </c>
      <c r="R12" s="6"/>
    </row>
    <row r="13" spans="1:18">
      <c r="A13" s="11" t="s">
        <v>15</v>
      </c>
      <c r="B13" s="11" t="s">
        <v>16</v>
      </c>
      <c r="C13" s="6">
        <v>616291.48684648005</v>
      </c>
      <c r="D13" s="32"/>
      <c r="E13" s="6">
        <f t="shared" si="0"/>
        <v>616291.48684648005</v>
      </c>
      <c r="F13" s="6"/>
      <c r="G13" s="6">
        <v>594682.45170928305</v>
      </c>
      <c r="H13" s="32"/>
      <c r="I13" s="6">
        <f t="shared" si="1"/>
        <v>594682.45170928305</v>
      </c>
      <c r="J13" s="6"/>
      <c r="K13" s="141">
        <v>508209.98617282801</v>
      </c>
      <c r="L13" s="142"/>
      <c r="M13" s="141">
        <f t="shared" si="2"/>
        <v>508209.98617282801</v>
      </c>
      <c r="N13" s="141"/>
      <c r="O13" s="141">
        <v>502141.09651682799</v>
      </c>
      <c r="P13" s="142"/>
      <c r="Q13" s="141">
        <f t="shared" si="3"/>
        <v>502141.09651682799</v>
      </c>
      <c r="R13" s="6"/>
    </row>
    <row r="14" spans="1:18">
      <c r="A14" s="11" t="s">
        <v>17</v>
      </c>
      <c r="B14" s="11" t="s">
        <v>18</v>
      </c>
      <c r="C14" s="6">
        <v>267355.01371700002</v>
      </c>
      <c r="D14" s="32"/>
      <c r="E14" s="6">
        <f t="shared" si="0"/>
        <v>267355.01371700002</v>
      </c>
      <c r="F14" s="6"/>
      <c r="G14" s="6">
        <v>112203.043638</v>
      </c>
      <c r="H14" s="32"/>
      <c r="I14" s="6">
        <f t="shared" si="1"/>
        <v>112203.043638</v>
      </c>
      <c r="J14" s="6"/>
      <c r="K14" s="141">
        <v>77457.419657999897</v>
      </c>
      <c r="L14" s="142"/>
      <c r="M14" s="141">
        <f t="shared" si="2"/>
        <v>77457.419657999897</v>
      </c>
      <c r="N14" s="141"/>
      <c r="O14" s="141">
        <v>-73901.458608000001</v>
      </c>
      <c r="P14" s="142"/>
      <c r="Q14" s="141">
        <f t="shared" si="3"/>
        <v>-73901.458608000001</v>
      </c>
      <c r="R14" s="6"/>
    </row>
    <row r="15" spans="1:18">
      <c r="A15" s="11" t="s">
        <v>19</v>
      </c>
      <c r="B15" s="11" t="s">
        <v>20</v>
      </c>
      <c r="C15" s="6">
        <v>-87613.307979999896</v>
      </c>
      <c r="D15" s="32"/>
      <c r="E15" s="6">
        <f t="shared" si="0"/>
        <v>-87613.307979999896</v>
      </c>
      <c r="F15" s="6"/>
      <c r="G15" s="6">
        <v>-84084.772356999907</v>
      </c>
      <c r="H15" s="32"/>
      <c r="I15" s="6">
        <f t="shared" si="1"/>
        <v>-84084.772356999907</v>
      </c>
      <c r="J15" s="6"/>
      <c r="K15" s="141">
        <v>-78171.685266</v>
      </c>
      <c r="L15" s="142"/>
      <c r="M15" s="141">
        <f t="shared" si="2"/>
        <v>-78171.685266</v>
      </c>
      <c r="N15" s="141"/>
      <c r="O15" s="141">
        <v>0</v>
      </c>
      <c r="P15" s="142"/>
      <c r="Q15" s="141">
        <f t="shared" si="3"/>
        <v>0</v>
      </c>
      <c r="R15" s="6"/>
    </row>
    <row r="16" spans="1:18">
      <c r="A16" t="s">
        <v>21</v>
      </c>
      <c r="B16" t="s">
        <v>22</v>
      </c>
      <c r="C16" s="6">
        <v>0</v>
      </c>
      <c r="D16" s="32"/>
      <c r="E16" s="6">
        <f t="shared" si="0"/>
        <v>0</v>
      </c>
      <c r="F16" s="6"/>
      <c r="G16" s="6">
        <v>0</v>
      </c>
      <c r="H16" s="32"/>
      <c r="I16" s="6">
        <f t="shared" si="1"/>
        <v>0</v>
      </c>
      <c r="J16" s="6"/>
      <c r="K16" s="141">
        <v>0</v>
      </c>
      <c r="L16" s="142"/>
      <c r="M16" s="141">
        <f t="shared" si="2"/>
        <v>0</v>
      </c>
      <c r="N16" s="141"/>
      <c r="O16" s="141">
        <v>0</v>
      </c>
      <c r="P16" s="142"/>
      <c r="Q16" s="141">
        <f t="shared" si="3"/>
        <v>0</v>
      </c>
      <c r="R16" s="6"/>
    </row>
    <row r="17" spans="1:38">
      <c r="A17" t="s">
        <v>23</v>
      </c>
      <c r="B17" t="s">
        <v>24</v>
      </c>
      <c r="C17" s="6">
        <v>0</v>
      </c>
      <c r="D17" s="32"/>
      <c r="E17" s="6">
        <f t="shared" si="0"/>
        <v>0</v>
      </c>
      <c r="F17" s="6"/>
      <c r="G17" s="6">
        <v>0</v>
      </c>
      <c r="H17" s="32"/>
      <c r="I17" s="6">
        <f t="shared" si="1"/>
        <v>0</v>
      </c>
      <c r="J17" s="6"/>
      <c r="K17" s="141">
        <v>0</v>
      </c>
      <c r="L17" s="142"/>
      <c r="M17" s="141">
        <f t="shared" si="2"/>
        <v>0</v>
      </c>
      <c r="N17" s="141"/>
      <c r="O17" s="141">
        <v>0</v>
      </c>
      <c r="P17" s="142"/>
      <c r="Q17" s="141">
        <f t="shared" si="3"/>
        <v>0</v>
      </c>
      <c r="R17" s="6"/>
    </row>
    <row r="18" spans="1:38">
      <c r="A18" s="11" t="s">
        <v>25</v>
      </c>
      <c r="B18" s="11" t="s">
        <v>26</v>
      </c>
      <c r="C18" s="6">
        <v>15778.601164223899</v>
      </c>
      <c r="D18" s="32"/>
      <c r="E18" s="6">
        <f t="shared" si="0"/>
        <v>15778.601164223899</v>
      </c>
      <c r="F18" s="6"/>
      <c r="G18" s="6">
        <v>16168.9508609325</v>
      </c>
      <c r="H18" s="32"/>
      <c r="I18" s="6">
        <f t="shared" si="1"/>
        <v>16168.9508609325</v>
      </c>
      <c r="J18" s="6"/>
      <c r="K18" s="141">
        <v>7392.26720993259</v>
      </c>
      <c r="L18" s="142"/>
      <c r="M18" s="141">
        <f t="shared" si="2"/>
        <v>7392.26720993259</v>
      </c>
      <c r="N18" s="141"/>
      <c r="O18" s="141">
        <v>10966.815265932501</v>
      </c>
      <c r="P18" s="142"/>
      <c r="Q18" s="141">
        <f t="shared" si="3"/>
        <v>10966.815265932501</v>
      </c>
      <c r="R18" s="6"/>
    </row>
    <row r="19" spans="1:38">
      <c r="A19" s="11" t="s">
        <v>27</v>
      </c>
      <c r="B19" s="11" t="s">
        <v>28</v>
      </c>
      <c r="C19" s="6">
        <v>13.141063820891301</v>
      </c>
      <c r="D19" s="32"/>
      <c r="E19" s="6">
        <f t="shared" si="0"/>
        <v>13.141063820891301</v>
      </c>
      <c r="F19" s="6"/>
      <c r="G19" s="6">
        <v>-719.37823517910795</v>
      </c>
      <c r="H19" s="32"/>
      <c r="I19" s="6">
        <f t="shared" si="1"/>
        <v>-719.37823517910795</v>
      </c>
      <c r="J19" s="6"/>
      <c r="K19" s="141">
        <v>3.9406068208913401</v>
      </c>
      <c r="L19" s="142"/>
      <c r="M19" s="141">
        <f t="shared" si="2"/>
        <v>3.9406068208913401</v>
      </c>
      <c r="N19" s="141"/>
      <c r="O19" s="141">
        <v>-723.05939317910804</v>
      </c>
      <c r="P19" s="142"/>
      <c r="Q19" s="141">
        <f t="shared" si="3"/>
        <v>-723.05939317910804</v>
      </c>
      <c r="R19" s="6"/>
    </row>
    <row r="20" spans="1:38">
      <c r="A20" s="11" t="s">
        <v>29</v>
      </c>
      <c r="B20" s="11" t="s">
        <v>30</v>
      </c>
      <c r="C20" s="6">
        <v>-982</v>
      </c>
      <c r="D20" s="32"/>
      <c r="E20" s="6">
        <f t="shared" si="0"/>
        <v>-982</v>
      </c>
      <c r="F20" s="6"/>
      <c r="G20" s="6">
        <v>-907</v>
      </c>
      <c r="H20" s="32"/>
      <c r="I20" s="6">
        <f t="shared" si="1"/>
        <v>-907</v>
      </c>
      <c r="J20" s="6"/>
      <c r="K20" s="141">
        <v>-1631</v>
      </c>
      <c r="L20" s="142"/>
      <c r="M20" s="141">
        <f t="shared" si="2"/>
        <v>-1631</v>
      </c>
      <c r="N20" s="141"/>
      <c r="O20" s="141">
        <v>0</v>
      </c>
      <c r="P20" s="142"/>
      <c r="Q20" s="141">
        <f t="shared" si="3"/>
        <v>0</v>
      </c>
      <c r="R20" s="6"/>
    </row>
    <row r="21" spans="1:38">
      <c r="A21" t="s">
        <v>31</v>
      </c>
      <c r="B21" t="s">
        <v>32</v>
      </c>
      <c r="C21" s="6">
        <v>7043.7193978568603</v>
      </c>
      <c r="D21" s="32"/>
      <c r="E21" s="6">
        <f t="shared" si="0"/>
        <v>7043.7193978568603</v>
      </c>
      <c r="F21" s="6"/>
      <c r="G21" s="6">
        <v>4173.1393978568603</v>
      </c>
      <c r="H21" s="32"/>
      <c r="I21" s="6">
        <f t="shared" si="1"/>
        <v>4173.1393978568603</v>
      </c>
      <c r="J21" s="6"/>
      <c r="K21" s="141">
        <v>540.13939785686102</v>
      </c>
      <c r="L21" s="142"/>
      <c r="M21" s="141">
        <f t="shared" si="2"/>
        <v>540.13939785686102</v>
      </c>
      <c r="N21" s="141"/>
      <c r="O21" s="141">
        <v>540.13939785686102</v>
      </c>
      <c r="P21" s="142"/>
      <c r="Q21" s="141">
        <f t="shared" si="3"/>
        <v>540.13939785686102</v>
      </c>
      <c r="R21" s="6"/>
    </row>
    <row r="22" spans="1:38">
      <c r="A22" t="s">
        <v>33</v>
      </c>
      <c r="B22" t="s">
        <v>34</v>
      </c>
      <c r="C22" s="6">
        <v>-8704.0393978568609</v>
      </c>
      <c r="D22" s="32"/>
      <c r="E22" s="6">
        <f t="shared" si="0"/>
        <v>-8704.0393978568609</v>
      </c>
      <c r="F22" s="6"/>
      <c r="G22" s="6">
        <v>-4173.1393978568603</v>
      </c>
      <c r="H22" s="32"/>
      <c r="I22" s="6">
        <f t="shared" si="1"/>
        <v>-4173.1393978568603</v>
      </c>
      <c r="J22" s="6"/>
      <c r="K22" s="141">
        <v>-4173.1393978568603</v>
      </c>
      <c r="L22" s="142"/>
      <c r="M22" s="141">
        <f t="shared" si="2"/>
        <v>-4173.1393978568603</v>
      </c>
      <c r="N22" s="141"/>
      <c r="O22" s="141">
        <v>-4173.1393978568503</v>
      </c>
      <c r="P22" s="142"/>
      <c r="Q22" s="141">
        <f t="shared" si="3"/>
        <v>-4173.1393978568503</v>
      </c>
      <c r="R22" s="6"/>
    </row>
    <row r="23" spans="1:38" s="12" customFormat="1">
      <c r="A23" s="12" t="s">
        <v>35</v>
      </c>
      <c r="B23" s="13" t="s">
        <v>6</v>
      </c>
      <c r="C23" s="17">
        <v>827664.03181532049</v>
      </c>
      <c r="D23" s="33">
        <f>SUM(D11:D22)</f>
        <v>0</v>
      </c>
      <c r="E23" s="56">
        <f t="shared" si="0"/>
        <v>827664.03181532049</v>
      </c>
      <c r="F23" s="17"/>
      <c r="G23" s="17">
        <v>655795.27458125073</v>
      </c>
      <c r="H23" s="33">
        <f>SUM(H11:H22)</f>
        <v>0</v>
      </c>
      <c r="I23" s="56">
        <f t="shared" si="1"/>
        <v>655795.27458125073</v>
      </c>
      <c r="J23" s="17"/>
      <c r="K23" s="143">
        <v>528312.1678720552</v>
      </c>
      <c r="L23" s="144">
        <f>SUM(L11:L22)</f>
        <v>0</v>
      </c>
      <c r="M23" s="143">
        <f t="shared" si="2"/>
        <v>528312.1678720552</v>
      </c>
      <c r="N23" s="143"/>
      <c r="O23" s="143">
        <v>453534.6332720553</v>
      </c>
      <c r="P23" s="144">
        <f>SUM(P11:P22)</f>
        <v>0</v>
      </c>
      <c r="Q23" s="143">
        <f t="shared" si="3"/>
        <v>453534.6332720553</v>
      </c>
      <c r="R23" s="17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>
      <c r="A24" t="s">
        <v>36</v>
      </c>
      <c r="B24" s="5" t="s">
        <v>37</v>
      </c>
      <c r="C24" s="6">
        <v>1654</v>
      </c>
      <c r="D24" s="32"/>
      <c r="E24" s="6">
        <f t="shared" si="0"/>
        <v>1654</v>
      </c>
      <c r="F24" s="6"/>
      <c r="G24" s="6">
        <v>56962.885738639903</v>
      </c>
      <c r="H24" s="32"/>
      <c r="I24" s="6">
        <f t="shared" si="1"/>
        <v>56962.885738639903</v>
      </c>
      <c r="J24" s="6"/>
      <c r="K24" s="141">
        <v>19051.454300984002</v>
      </c>
      <c r="L24" s="142"/>
      <c r="M24" s="141">
        <f t="shared" si="2"/>
        <v>19051.454300984002</v>
      </c>
      <c r="N24" s="141"/>
      <c r="O24" s="141">
        <v>19051.454300984002</v>
      </c>
      <c r="P24" s="142"/>
      <c r="Q24" s="141">
        <f t="shared" si="3"/>
        <v>19051.454300984002</v>
      </c>
      <c r="R24" s="6"/>
    </row>
    <row r="25" spans="1:38">
      <c r="A25" t="s">
        <v>38</v>
      </c>
      <c r="B25" s="5" t="s">
        <v>39</v>
      </c>
      <c r="C25" s="6">
        <v>0</v>
      </c>
      <c r="D25" s="32"/>
      <c r="E25" s="6">
        <f t="shared" si="0"/>
        <v>0</v>
      </c>
      <c r="F25" s="6"/>
      <c r="G25" s="6">
        <v>0</v>
      </c>
      <c r="H25" s="32"/>
      <c r="I25" s="6">
        <f t="shared" si="1"/>
        <v>0</v>
      </c>
      <c r="J25" s="6"/>
      <c r="K25" s="141">
        <v>0</v>
      </c>
      <c r="L25" s="142"/>
      <c r="M25" s="141">
        <f t="shared" si="2"/>
        <v>0</v>
      </c>
      <c r="N25" s="141"/>
      <c r="O25" s="141">
        <v>0</v>
      </c>
      <c r="P25" s="142"/>
      <c r="Q25" s="141">
        <f t="shared" si="3"/>
        <v>0</v>
      </c>
      <c r="R25" s="6"/>
    </row>
    <row r="26" spans="1:38">
      <c r="A26" t="s">
        <v>40</v>
      </c>
      <c r="B26" s="5" t="s">
        <v>41</v>
      </c>
      <c r="C26" s="6">
        <v>-536</v>
      </c>
      <c r="D26" s="32"/>
      <c r="E26" s="6">
        <f t="shared" si="0"/>
        <v>-536</v>
      </c>
      <c r="F26" s="6"/>
      <c r="G26" s="6">
        <v>-302</v>
      </c>
      <c r="H26" s="32"/>
      <c r="I26" s="6">
        <f t="shared" si="1"/>
        <v>-302</v>
      </c>
      <c r="J26" s="6"/>
      <c r="K26" s="141">
        <v>0</v>
      </c>
      <c r="L26" s="142"/>
      <c r="M26" s="141">
        <f t="shared" si="2"/>
        <v>0</v>
      </c>
      <c r="N26" s="141"/>
      <c r="O26" s="141">
        <v>0</v>
      </c>
      <c r="P26" s="142"/>
      <c r="Q26" s="141">
        <f t="shared" si="3"/>
        <v>0</v>
      </c>
      <c r="R26" s="6"/>
    </row>
    <row r="27" spans="1:38" s="12" customFormat="1">
      <c r="A27" s="12" t="s">
        <v>42</v>
      </c>
      <c r="B27" s="13" t="s">
        <v>6</v>
      </c>
      <c r="C27" s="17">
        <v>1118</v>
      </c>
      <c r="D27" s="33">
        <f>SUM(D24:D26)</f>
        <v>0</v>
      </c>
      <c r="E27" s="56">
        <f t="shared" si="0"/>
        <v>1118</v>
      </c>
      <c r="F27" s="17"/>
      <c r="G27" s="17">
        <v>56660.885738639903</v>
      </c>
      <c r="H27" s="33">
        <f>SUM(H24:H26)</f>
        <v>0</v>
      </c>
      <c r="I27" s="56">
        <f t="shared" si="1"/>
        <v>56660.885738639903</v>
      </c>
      <c r="J27" s="17"/>
      <c r="K27" s="143">
        <v>19051.454300984002</v>
      </c>
      <c r="L27" s="144">
        <f>SUM(L24:L26)</f>
        <v>0</v>
      </c>
      <c r="M27" s="143">
        <f t="shared" si="2"/>
        <v>19051.454300984002</v>
      </c>
      <c r="N27" s="143"/>
      <c r="O27" s="143">
        <v>19051.454300984002</v>
      </c>
      <c r="P27" s="144">
        <f>SUM(P24:P26)</f>
        <v>0</v>
      </c>
      <c r="Q27" s="143">
        <f t="shared" si="3"/>
        <v>19051.454300984002</v>
      </c>
      <c r="R27" s="1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>
      <c r="A28" s="11" t="s">
        <v>279</v>
      </c>
      <c r="B28" s="5" t="s">
        <v>281</v>
      </c>
      <c r="C28" s="152">
        <v>8772</v>
      </c>
      <c r="D28" s="32"/>
      <c r="E28" s="6">
        <f t="shared" si="0"/>
        <v>8772</v>
      </c>
      <c r="F28" s="6"/>
      <c r="G28" s="6">
        <v>39931.11</v>
      </c>
      <c r="H28" s="32"/>
      <c r="I28" s="6">
        <f>SUM(G28:H28)</f>
        <v>39931.11</v>
      </c>
      <c r="J28" s="6"/>
      <c r="K28" s="141">
        <v>21527.0999999999</v>
      </c>
      <c r="L28" s="142"/>
      <c r="M28" s="141">
        <f>SUM(K28:L28)</f>
        <v>21527.0999999999</v>
      </c>
      <c r="N28" s="141"/>
      <c r="O28" s="141">
        <v>0</v>
      </c>
      <c r="P28" s="142"/>
      <c r="Q28" s="141">
        <f t="shared" si="3"/>
        <v>0</v>
      </c>
      <c r="R28" s="6"/>
    </row>
    <row r="29" spans="1:38">
      <c r="A29" s="11" t="s">
        <v>280</v>
      </c>
      <c r="B29" s="5" t="s">
        <v>282</v>
      </c>
      <c r="C29" s="152">
        <v>20214</v>
      </c>
      <c r="D29" s="32"/>
      <c r="E29" s="6">
        <f t="shared" si="0"/>
        <v>20214</v>
      </c>
      <c r="F29" s="6"/>
      <c r="G29" s="6">
        <v>769</v>
      </c>
      <c r="H29" s="32"/>
      <c r="I29" s="6">
        <f>SUM(G29:H29)</f>
        <v>769</v>
      </c>
      <c r="J29" s="6"/>
      <c r="K29" s="141">
        <v>0</v>
      </c>
      <c r="L29" s="142"/>
      <c r="M29" s="141">
        <f>SUM(K29:L29)</f>
        <v>0</v>
      </c>
      <c r="N29" s="141"/>
      <c r="O29" s="141">
        <v>0</v>
      </c>
      <c r="P29" s="142"/>
      <c r="Q29" s="141">
        <f t="shared" si="3"/>
        <v>0</v>
      </c>
      <c r="R29" s="6"/>
    </row>
    <row r="30" spans="1:38">
      <c r="A30" s="11" t="s">
        <v>43</v>
      </c>
      <c r="B30" s="5" t="s">
        <v>44</v>
      </c>
      <c r="C30" s="6">
        <v>0</v>
      </c>
      <c r="D30" s="32"/>
      <c r="E30" s="6">
        <f t="shared" si="0"/>
        <v>0</v>
      </c>
      <c r="F30" s="6"/>
      <c r="G30" s="6">
        <v>0</v>
      </c>
      <c r="H30" s="32"/>
      <c r="I30" s="6">
        <f t="shared" si="1"/>
        <v>0</v>
      </c>
      <c r="J30" s="6"/>
      <c r="K30" s="141">
        <v>0</v>
      </c>
      <c r="L30" s="142"/>
      <c r="M30" s="141">
        <f t="shared" si="2"/>
        <v>0</v>
      </c>
      <c r="N30" s="141"/>
      <c r="O30" s="141">
        <v>0</v>
      </c>
      <c r="P30" s="142"/>
      <c r="Q30" s="141">
        <f t="shared" si="3"/>
        <v>0</v>
      </c>
      <c r="R30" s="6"/>
    </row>
    <row r="31" spans="1:38">
      <c r="A31" s="11" t="s">
        <v>45</v>
      </c>
      <c r="B31" s="5" t="s">
        <v>46</v>
      </c>
      <c r="C31" s="6">
        <v>0</v>
      </c>
      <c r="D31" s="32"/>
      <c r="E31" s="6">
        <f t="shared" si="0"/>
        <v>0</v>
      </c>
      <c r="F31" s="6"/>
      <c r="G31" s="6">
        <v>0</v>
      </c>
      <c r="H31" s="32"/>
      <c r="I31" s="6">
        <f t="shared" si="1"/>
        <v>0</v>
      </c>
      <c r="J31" s="6"/>
      <c r="K31" s="141">
        <v>0</v>
      </c>
      <c r="L31" s="142"/>
      <c r="M31" s="141">
        <f t="shared" si="2"/>
        <v>0</v>
      </c>
      <c r="N31" s="141"/>
      <c r="O31" s="141">
        <v>0</v>
      </c>
      <c r="P31" s="142"/>
      <c r="Q31" s="141">
        <f t="shared" si="3"/>
        <v>0</v>
      </c>
      <c r="R31" s="6"/>
    </row>
    <row r="32" spans="1:38">
      <c r="A32" s="11" t="s">
        <v>47</v>
      </c>
      <c r="B32" s="5" t="s">
        <v>48</v>
      </c>
      <c r="C32" s="6">
        <v>0</v>
      </c>
      <c r="D32" s="32"/>
      <c r="E32" s="6">
        <f t="shared" si="0"/>
        <v>0</v>
      </c>
      <c r="F32" s="6"/>
      <c r="G32" s="6">
        <v>0</v>
      </c>
      <c r="H32" s="32"/>
      <c r="I32" s="6">
        <f t="shared" si="1"/>
        <v>0</v>
      </c>
      <c r="J32" s="6"/>
      <c r="K32" s="141">
        <v>0</v>
      </c>
      <c r="L32" s="142"/>
      <c r="M32" s="141">
        <f t="shared" si="2"/>
        <v>0</v>
      </c>
      <c r="N32" s="141"/>
      <c r="O32" s="141">
        <v>0</v>
      </c>
      <c r="P32" s="142"/>
      <c r="Q32" s="141">
        <f t="shared" si="3"/>
        <v>0</v>
      </c>
      <c r="R32" s="6"/>
    </row>
    <row r="33" spans="1:38">
      <c r="A33" s="11" t="s">
        <v>49</v>
      </c>
      <c r="B33" s="5" t="s">
        <v>50</v>
      </c>
      <c r="C33" s="6">
        <v>0</v>
      </c>
      <c r="D33" s="32"/>
      <c r="E33" s="6">
        <f t="shared" si="0"/>
        <v>0</v>
      </c>
      <c r="F33" s="6"/>
      <c r="G33" s="6">
        <v>0</v>
      </c>
      <c r="H33" s="32"/>
      <c r="I33" s="6">
        <f t="shared" si="1"/>
        <v>0</v>
      </c>
      <c r="J33" s="6"/>
      <c r="K33" s="141">
        <v>0</v>
      </c>
      <c r="L33" s="142"/>
      <c r="M33" s="141">
        <f t="shared" si="2"/>
        <v>0</v>
      </c>
      <c r="N33" s="141"/>
      <c r="O33" s="141">
        <v>0</v>
      </c>
      <c r="P33" s="142"/>
      <c r="Q33" s="141">
        <f t="shared" si="3"/>
        <v>0</v>
      </c>
      <c r="R33" s="6"/>
    </row>
    <row r="34" spans="1:38">
      <c r="A34" s="11" t="s">
        <v>51</v>
      </c>
      <c r="B34" s="5" t="s">
        <v>52</v>
      </c>
      <c r="C34" s="6">
        <v>0</v>
      </c>
      <c r="D34" s="32"/>
      <c r="E34" s="6">
        <f t="shared" si="0"/>
        <v>0</v>
      </c>
      <c r="F34" s="6"/>
      <c r="G34" s="6">
        <v>0</v>
      </c>
      <c r="H34" s="32"/>
      <c r="I34" s="6">
        <f t="shared" si="1"/>
        <v>0</v>
      </c>
      <c r="J34" s="6"/>
      <c r="K34" s="141">
        <v>0</v>
      </c>
      <c r="L34" s="142"/>
      <c r="M34" s="141">
        <f t="shared" si="2"/>
        <v>0</v>
      </c>
      <c r="N34" s="141"/>
      <c r="O34" s="141">
        <v>0</v>
      </c>
      <c r="P34" s="142"/>
      <c r="Q34" s="141">
        <f t="shared" si="3"/>
        <v>0</v>
      </c>
      <c r="R34" s="6"/>
    </row>
    <row r="35" spans="1:38">
      <c r="A35" s="11" t="s">
        <v>53</v>
      </c>
      <c r="B35" s="5" t="s">
        <v>54</v>
      </c>
      <c r="C35" s="6">
        <v>0</v>
      </c>
      <c r="D35" s="32"/>
      <c r="E35" s="6">
        <f t="shared" si="0"/>
        <v>0</v>
      </c>
      <c r="F35" s="6"/>
      <c r="G35" s="6">
        <v>0</v>
      </c>
      <c r="H35" s="32"/>
      <c r="I35" s="6">
        <f t="shared" si="1"/>
        <v>0</v>
      </c>
      <c r="J35" s="6"/>
      <c r="K35" s="141">
        <v>0</v>
      </c>
      <c r="L35" s="142"/>
      <c r="M35" s="141">
        <f t="shared" si="2"/>
        <v>0</v>
      </c>
      <c r="N35" s="141"/>
      <c r="O35" s="141">
        <v>0</v>
      </c>
      <c r="P35" s="142"/>
      <c r="Q35" s="141">
        <f t="shared" si="3"/>
        <v>0</v>
      </c>
      <c r="R35" s="6"/>
    </row>
    <row r="36" spans="1:38">
      <c r="A36" s="11" t="s">
        <v>55</v>
      </c>
      <c r="B36" s="5" t="s">
        <v>56</v>
      </c>
      <c r="C36" s="6">
        <v>0</v>
      </c>
      <c r="D36" s="32"/>
      <c r="E36" s="6">
        <f t="shared" si="0"/>
        <v>0</v>
      </c>
      <c r="F36" s="6"/>
      <c r="G36" s="6">
        <v>0</v>
      </c>
      <c r="H36" s="32"/>
      <c r="I36" s="6">
        <f t="shared" si="1"/>
        <v>0</v>
      </c>
      <c r="J36" s="6"/>
      <c r="K36" s="141">
        <v>0</v>
      </c>
      <c r="L36" s="142"/>
      <c r="M36" s="141">
        <f t="shared" si="2"/>
        <v>0</v>
      </c>
      <c r="N36" s="141"/>
      <c r="O36" s="141">
        <v>0</v>
      </c>
      <c r="P36" s="142"/>
      <c r="Q36" s="141">
        <f t="shared" si="3"/>
        <v>0</v>
      </c>
      <c r="R36" s="6"/>
    </row>
    <row r="37" spans="1:38">
      <c r="A37" s="11" t="s">
        <v>57</v>
      </c>
      <c r="B37" s="5" t="s">
        <v>58</v>
      </c>
      <c r="C37" s="6">
        <v>0</v>
      </c>
      <c r="D37" s="32"/>
      <c r="E37" s="6">
        <f t="shared" si="0"/>
        <v>0</v>
      </c>
      <c r="F37" s="6"/>
      <c r="G37" s="6">
        <v>0</v>
      </c>
      <c r="H37" s="32"/>
      <c r="I37" s="6">
        <f t="shared" si="1"/>
        <v>0</v>
      </c>
      <c r="J37" s="6"/>
      <c r="K37" s="141">
        <v>0</v>
      </c>
      <c r="L37" s="142"/>
      <c r="M37" s="141">
        <f t="shared" si="2"/>
        <v>0</v>
      </c>
      <c r="N37" s="141"/>
      <c r="O37" s="141">
        <v>0</v>
      </c>
      <c r="P37" s="142"/>
      <c r="Q37" s="141">
        <f t="shared" si="3"/>
        <v>0</v>
      </c>
      <c r="R37" s="6"/>
    </row>
    <row r="38" spans="1:38">
      <c r="A38" s="11" t="s">
        <v>59</v>
      </c>
      <c r="B38" s="5" t="s">
        <v>60</v>
      </c>
      <c r="C38" s="152">
        <v>16050</v>
      </c>
      <c r="D38" s="32">
        <v>-37</v>
      </c>
      <c r="E38" s="6">
        <f t="shared" si="0"/>
        <v>16013</v>
      </c>
      <c r="F38" s="6"/>
      <c r="G38" s="6">
        <v>0</v>
      </c>
      <c r="H38" s="32"/>
      <c r="I38" s="6">
        <f t="shared" si="1"/>
        <v>0</v>
      </c>
      <c r="J38" s="6"/>
      <c r="K38" s="141">
        <v>0</v>
      </c>
      <c r="L38" s="142"/>
      <c r="M38" s="141">
        <f t="shared" si="2"/>
        <v>0</v>
      </c>
      <c r="N38" s="141"/>
      <c r="O38" s="141">
        <v>0</v>
      </c>
      <c r="P38" s="142"/>
      <c r="Q38" s="141">
        <f t="shared" si="3"/>
        <v>0</v>
      </c>
      <c r="R38" s="6"/>
    </row>
    <row r="39" spans="1:38">
      <c r="A39" s="11" t="s">
        <v>61</v>
      </c>
      <c r="B39" s="5" t="s">
        <v>62</v>
      </c>
      <c r="C39" s="6">
        <v>0</v>
      </c>
      <c r="D39" s="32"/>
      <c r="E39" s="6">
        <f t="shared" si="0"/>
        <v>0</v>
      </c>
      <c r="F39" s="6"/>
      <c r="G39" s="6">
        <v>0</v>
      </c>
      <c r="H39" s="32"/>
      <c r="I39" s="6">
        <f t="shared" si="1"/>
        <v>0</v>
      </c>
      <c r="J39" s="6"/>
      <c r="K39" s="141">
        <v>0</v>
      </c>
      <c r="L39" s="142"/>
      <c r="M39" s="141">
        <f t="shared" si="2"/>
        <v>0</v>
      </c>
      <c r="N39" s="141"/>
      <c r="O39" s="141">
        <v>0</v>
      </c>
      <c r="P39" s="142"/>
      <c r="Q39" s="141">
        <f t="shared" si="3"/>
        <v>0</v>
      </c>
      <c r="R39" s="6"/>
    </row>
    <row r="40" spans="1:38">
      <c r="A40" s="11" t="s">
        <v>63</v>
      </c>
      <c r="B40" s="5" t="s">
        <v>64</v>
      </c>
      <c r="C40" s="6">
        <v>0</v>
      </c>
      <c r="D40" s="32"/>
      <c r="E40" s="6">
        <f t="shared" si="0"/>
        <v>0</v>
      </c>
      <c r="F40" s="6"/>
      <c r="G40" s="6">
        <v>0</v>
      </c>
      <c r="H40" s="32"/>
      <c r="I40" s="6">
        <f t="shared" si="1"/>
        <v>0</v>
      </c>
      <c r="J40" s="6"/>
      <c r="K40" s="141">
        <v>0</v>
      </c>
      <c r="L40" s="142"/>
      <c r="M40" s="141">
        <f t="shared" si="2"/>
        <v>0</v>
      </c>
      <c r="N40" s="141"/>
      <c r="O40" s="141">
        <v>0</v>
      </c>
      <c r="P40" s="142"/>
      <c r="Q40" s="141">
        <f t="shared" si="3"/>
        <v>0</v>
      </c>
      <c r="R40" s="6"/>
    </row>
    <row r="41" spans="1:38">
      <c r="A41" s="11" t="s">
        <v>65</v>
      </c>
      <c r="B41" s="5" t="s">
        <v>66</v>
      </c>
      <c r="C41" s="6">
        <v>0</v>
      </c>
      <c r="D41" s="32"/>
      <c r="E41" s="6">
        <f t="shared" si="0"/>
        <v>0</v>
      </c>
      <c r="F41" s="6"/>
      <c r="G41" s="6">
        <v>0</v>
      </c>
      <c r="H41" s="32"/>
      <c r="I41" s="6">
        <f t="shared" si="1"/>
        <v>0</v>
      </c>
      <c r="J41" s="6"/>
      <c r="K41" s="141">
        <v>0</v>
      </c>
      <c r="L41" s="142"/>
      <c r="M41" s="141">
        <f t="shared" si="2"/>
        <v>0</v>
      </c>
      <c r="N41" s="141"/>
      <c r="O41" s="141">
        <v>0</v>
      </c>
      <c r="P41" s="142"/>
      <c r="Q41" s="141">
        <f t="shared" si="3"/>
        <v>0</v>
      </c>
      <c r="R41" s="6"/>
    </row>
    <row r="42" spans="1:38">
      <c r="A42" s="11" t="s">
        <v>67</v>
      </c>
      <c r="B42" s="5" t="s">
        <v>68</v>
      </c>
      <c r="C42" s="6">
        <v>0</v>
      </c>
      <c r="D42" s="32"/>
      <c r="E42" s="6">
        <f t="shared" si="0"/>
        <v>0</v>
      </c>
      <c r="F42" s="6"/>
      <c r="G42" s="6">
        <v>0</v>
      </c>
      <c r="H42" s="32"/>
      <c r="I42" s="6">
        <f t="shared" si="1"/>
        <v>0</v>
      </c>
      <c r="J42" s="6"/>
      <c r="K42" s="141">
        <v>0</v>
      </c>
      <c r="L42" s="142"/>
      <c r="M42" s="141">
        <f t="shared" si="2"/>
        <v>0</v>
      </c>
      <c r="N42" s="141"/>
      <c r="O42" s="141">
        <v>0</v>
      </c>
      <c r="P42" s="142"/>
      <c r="Q42" s="141">
        <f t="shared" si="3"/>
        <v>0</v>
      </c>
      <c r="R42" s="6"/>
    </row>
    <row r="43" spans="1:38" s="12" customFormat="1" ht="22.5">
      <c r="A43" s="12" t="s">
        <v>35</v>
      </c>
      <c r="B43" s="13" t="s">
        <v>7</v>
      </c>
      <c r="C43" s="17">
        <v>45036</v>
      </c>
      <c r="D43" s="33">
        <f>SUM(D28:D42)</f>
        <v>-37</v>
      </c>
      <c r="E43" s="56">
        <f>SUM(E28:E42)</f>
        <v>44999</v>
      </c>
      <c r="F43" s="17"/>
      <c r="G43" s="17">
        <v>40700.11</v>
      </c>
      <c r="H43" s="33">
        <f>SUM(H28:H42)</f>
        <v>0</v>
      </c>
      <c r="I43" s="56">
        <f>SUM(I28:I42)</f>
        <v>40700.11</v>
      </c>
      <c r="J43" s="17"/>
      <c r="K43" s="143">
        <v>21527.0999999999</v>
      </c>
      <c r="L43" s="144">
        <f>SUM(L28:L42)</f>
        <v>0</v>
      </c>
      <c r="M43" s="143">
        <f>SUM(M28:M42)</f>
        <v>21527.0999999999</v>
      </c>
      <c r="N43" s="143"/>
      <c r="O43" s="143">
        <v>0</v>
      </c>
      <c r="P43" s="144">
        <f>SUM(P28:P42)</f>
        <v>0</v>
      </c>
      <c r="Q43" s="143">
        <f>SUM(Q28:Q42)</f>
        <v>0</v>
      </c>
      <c r="R43" s="17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>
      <c r="A44" s="11" t="s">
        <v>69</v>
      </c>
      <c r="B44" s="5" t="s">
        <v>70</v>
      </c>
      <c r="C44" s="152">
        <v>9531.68667524999</v>
      </c>
      <c r="D44" s="32"/>
      <c r="E44" s="6">
        <f t="shared" ref="E44:E112" si="4">SUM(C44:D44)</f>
        <v>9531.68667524999</v>
      </c>
      <c r="F44" s="6"/>
      <c r="G44" s="6">
        <v>4546.5095467233295</v>
      </c>
      <c r="H44" s="32"/>
      <c r="I44" s="6">
        <f t="shared" si="1"/>
        <v>4546.5095467233295</v>
      </c>
      <c r="J44" s="6"/>
      <c r="K44" s="141">
        <v>0</v>
      </c>
      <c r="L44" s="142"/>
      <c r="M44" s="141">
        <f t="shared" si="2"/>
        <v>0</v>
      </c>
      <c r="N44" s="141"/>
      <c r="O44" s="141">
        <v>0</v>
      </c>
      <c r="P44" s="142"/>
      <c r="Q44" s="141">
        <f t="shared" ref="Q44:Q95" si="5">SUM(O44:P44)</f>
        <v>0</v>
      </c>
      <c r="R44" s="6"/>
    </row>
    <row r="45" spans="1:38">
      <c r="A45" s="11" t="s">
        <v>71</v>
      </c>
      <c r="B45" s="5" t="s">
        <v>72</v>
      </c>
      <c r="C45" s="6">
        <v>0</v>
      </c>
      <c r="D45" s="32"/>
      <c r="E45" s="6">
        <f t="shared" si="4"/>
        <v>0</v>
      </c>
      <c r="F45" s="6"/>
      <c r="G45" s="6">
        <v>0</v>
      </c>
      <c r="H45" s="32"/>
      <c r="I45" s="6">
        <f t="shared" si="1"/>
        <v>0</v>
      </c>
      <c r="J45" s="6"/>
      <c r="K45" s="141">
        <v>0</v>
      </c>
      <c r="L45" s="142"/>
      <c r="M45" s="141">
        <f t="shared" si="2"/>
        <v>0</v>
      </c>
      <c r="N45" s="141"/>
      <c r="O45" s="141">
        <v>0</v>
      </c>
      <c r="P45" s="142"/>
      <c r="Q45" s="141">
        <f t="shared" si="5"/>
        <v>0</v>
      </c>
      <c r="R45" s="6"/>
    </row>
    <row r="46" spans="1:38">
      <c r="A46" s="11" t="s">
        <v>73</v>
      </c>
      <c r="B46" s="5" t="s">
        <v>74</v>
      </c>
      <c r="C46" s="6">
        <v>0</v>
      </c>
      <c r="D46" s="32"/>
      <c r="E46" s="6">
        <f t="shared" si="4"/>
        <v>0</v>
      </c>
      <c r="F46" s="6"/>
      <c r="G46" s="6">
        <v>0</v>
      </c>
      <c r="H46" s="32"/>
      <c r="I46" s="6">
        <f t="shared" si="1"/>
        <v>0</v>
      </c>
      <c r="J46" s="6"/>
      <c r="K46" s="141">
        <v>0</v>
      </c>
      <c r="L46" s="142"/>
      <c r="M46" s="141">
        <f t="shared" si="2"/>
        <v>0</v>
      </c>
      <c r="N46" s="141"/>
      <c r="O46" s="141">
        <v>0</v>
      </c>
      <c r="P46" s="142"/>
      <c r="Q46" s="141">
        <f t="shared" si="5"/>
        <v>0</v>
      </c>
      <c r="R46" s="6"/>
    </row>
    <row r="47" spans="1:38">
      <c r="A47" s="11" t="s">
        <v>75</v>
      </c>
      <c r="B47" s="5" t="s">
        <v>76</v>
      </c>
      <c r="C47" s="6">
        <v>0</v>
      </c>
      <c r="D47" s="32"/>
      <c r="E47" s="6">
        <f t="shared" si="4"/>
        <v>0</v>
      </c>
      <c r="F47" s="6"/>
      <c r="G47" s="6">
        <v>0</v>
      </c>
      <c r="H47" s="32"/>
      <c r="I47" s="6">
        <f t="shared" si="1"/>
        <v>0</v>
      </c>
      <c r="J47" s="6"/>
      <c r="K47" s="141">
        <v>0</v>
      </c>
      <c r="L47" s="142"/>
      <c r="M47" s="141">
        <f t="shared" si="2"/>
        <v>0</v>
      </c>
      <c r="N47" s="141"/>
      <c r="O47" s="141">
        <v>0</v>
      </c>
      <c r="P47" s="142"/>
      <c r="Q47" s="141">
        <f t="shared" si="5"/>
        <v>0</v>
      </c>
      <c r="R47" s="6"/>
    </row>
    <row r="48" spans="1:38">
      <c r="A48" s="11" t="s">
        <v>77</v>
      </c>
      <c r="B48" s="5" t="s">
        <v>78</v>
      </c>
      <c r="C48" s="6">
        <v>0</v>
      </c>
      <c r="D48" s="32"/>
      <c r="E48" s="6">
        <f t="shared" si="4"/>
        <v>0</v>
      </c>
      <c r="F48" s="6"/>
      <c r="G48" s="6">
        <v>0</v>
      </c>
      <c r="H48" s="32"/>
      <c r="I48" s="6">
        <f t="shared" si="1"/>
        <v>0</v>
      </c>
      <c r="J48" s="6"/>
      <c r="K48" s="141">
        <v>0</v>
      </c>
      <c r="L48" s="142"/>
      <c r="M48" s="141">
        <f t="shared" si="2"/>
        <v>0</v>
      </c>
      <c r="N48" s="141"/>
      <c r="O48" s="141">
        <v>0</v>
      </c>
      <c r="P48" s="142"/>
      <c r="Q48" s="141">
        <f t="shared" si="5"/>
        <v>0</v>
      </c>
      <c r="R48" s="6"/>
    </row>
    <row r="49" spans="1:38">
      <c r="A49" s="11" t="s">
        <v>79</v>
      </c>
      <c r="B49" s="5" t="s">
        <v>80</v>
      </c>
      <c r="C49" s="6">
        <v>0</v>
      </c>
      <c r="D49" s="32"/>
      <c r="E49" s="6">
        <f t="shared" si="4"/>
        <v>0</v>
      </c>
      <c r="F49" s="6"/>
      <c r="G49" s="6">
        <v>0</v>
      </c>
      <c r="H49" s="32"/>
      <c r="I49" s="6">
        <f t="shared" si="1"/>
        <v>0</v>
      </c>
      <c r="J49" s="6"/>
      <c r="K49" s="141">
        <v>0</v>
      </c>
      <c r="L49" s="142"/>
      <c r="M49" s="141">
        <f t="shared" si="2"/>
        <v>0</v>
      </c>
      <c r="N49" s="141"/>
      <c r="O49" s="141">
        <v>0</v>
      </c>
      <c r="P49" s="142"/>
      <c r="Q49" s="141">
        <f t="shared" si="5"/>
        <v>0</v>
      </c>
      <c r="R49" s="6"/>
    </row>
    <row r="50" spans="1:38">
      <c r="A50" s="11" t="s">
        <v>81</v>
      </c>
      <c r="B50" s="5" t="s">
        <v>82</v>
      </c>
      <c r="C50" s="6">
        <v>0</v>
      </c>
      <c r="D50" s="32"/>
      <c r="E50" s="6">
        <f t="shared" si="4"/>
        <v>0</v>
      </c>
      <c r="F50" s="6"/>
      <c r="G50" s="6">
        <v>0</v>
      </c>
      <c r="H50" s="32"/>
      <c r="I50" s="6">
        <f t="shared" si="1"/>
        <v>0</v>
      </c>
      <c r="J50" s="6"/>
      <c r="K50" s="141">
        <v>0</v>
      </c>
      <c r="L50" s="142"/>
      <c r="M50" s="141">
        <f t="shared" si="2"/>
        <v>0</v>
      </c>
      <c r="N50" s="141"/>
      <c r="O50" s="141">
        <v>0</v>
      </c>
      <c r="P50" s="142"/>
      <c r="Q50" s="141">
        <f t="shared" si="5"/>
        <v>0</v>
      </c>
      <c r="R50" s="6"/>
    </row>
    <row r="51" spans="1:38">
      <c r="A51" s="11" t="s">
        <v>83</v>
      </c>
      <c r="B51" s="5" t="s">
        <v>84</v>
      </c>
      <c r="C51" s="6">
        <v>0</v>
      </c>
      <c r="D51" s="32"/>
      <c r="E51" s="6">
        <f t="shared" si="4"/>
        <v>0</v>
      </c>
      <c r="F51" s="6"/>
      <c r="G51" s="6">
        <v>0</v>
      </c>
      <c r="H51" s="32"/>
      <c r="I51" s="6">
        <f t="shared" si="1"/>
        <v>0</v>
      </c>
      <c r="J51" s="6"/>
      <c r="K51" s="141">
        <v>0</v>
      </c>
      <c r="L51" s="142"/>
      <c r="M51" s="141">
        <f t="shared" si="2"/>
        <v>0</v>
      </c>
      <c r="N51" s="141"/>
      <c r="O51" s="141">
        <v>0</v>
      </c>
      <c r="P51" s="142"/>
      <c r="Q51" s="141">
        <f t="shared" si="5"/>
        <v>0</v>
      </c>
      <c r="R51" s="6"/>
    </row>
    <row r="52" spans="1:38">
      <c r="A52" s="11" t="s">
        <v>85</v>
      </c>
      <c r="B52" s="5" t="s">
        <v>86</v>
      </c>
      <c r="C52" s="152">
        <v>2889.8996059999899</v>
      </c>
      <c r="D52" s="32"/>
      <c r="E52" s="6">
        <f t="shared" si="4"/>
        <v>2889.8996059999899</v>
      </c>
      <c r="F52" s="6"/>
      <c r="G52" s="6">
        <v>6209.2047249999896</v>
      </c>
      <c r="H52" s="32"/>
      <c r="I52" s="6">
        <f t="shared" si="1"/>
        <v>6209.2047249999896</v>
      </c>
      <c r="J52" s="6"/>
      <c r="K52" s="141">
        <v>5377.7219999999897</v>
      </c>
      <c r="L52" s="142"/>
      <c r="M52" s="141">
        <f t="shared" si="2"/>
        <v>5377.7219999999897</v>
      </c>
      <c r="N52" s="141"/>
      <c r="O52" s="141">
        <v>0</v>
      </c>
      <c r="P52" s="142"/>
      <c r="Q52" s="141">
        <f t="shared" si="5"/>
        <v>0</v>
      </c>
      <c r="R52" s="6"/>
    </row>
    <row r="53" spans="1:38">
      <c r="A53" s="11" t="s">
        <v>87</v>
      </c>
      <c r="B53" s="5" t="s">
        <v>88</v>
      </c>
      <c r="C53" s="6">
        <v>0</v>
      </c>
      <c r="D53" s="32"/>
      <c r="E53" s="6">
        <f t="shared" si="4"/>
        <v>0</v>
      </c>
      <c r="F53" s="6"/>
      <c r="G53" s="6">
        <v>0</v>
      </c>
      <c r="H53" s="32"/>
      <c r="I53" s="6">
        <f t="shared" si="1"/>
        <v>0</v>
      </c>
      <c r="J53" s="6"/>
      <c r="K53" s="141">
        <v>0</v>
      </c>
      <c r="L53" s="142"/>
      <c r="M53" s="141">
        <f t="shared" si="2"/>
        <v>0</v>
      </c>
      <c r="N53" s="141"/>
      <c r="O53" s="141">
        <v>0</v>
      </c>
      <c r="P53" s="142"/>
      <c r="Q53" s="141">
        <f t="shared" si="5"/>
        <v>0</v>
      </c>
      <c r="R53" s="6"/>
    </row>
    <row r="54" spans="1:38">
      <c r="A54" s="11" t="s">
        <v>89</v>
      </c>
      <c r="B54" s="5" t="s">
        <v>90</v>
      </c>
      <c r="C54" s="6">
        <v>0</v>
      </c>
      <c r="D54" s="32"/>
      <c r="E54" s="6">
        <f t="shared" si="4"/>
        <v>0</v>
      </c>
      <c r="F54" s="6"/>
      <c r="G54" s="6">
        <v>0</v>
      </c>
      <c r="H54" s="32"/>
      <c r="I54" s="6">
        <f t="shared" si="1"/>
        <v>0</v>
      </c>
      <c r="J54" s="6"/>
      <c r="K54" s="141">
        <v>0</v>
      </c>
      <c r="L54" s="142"/>
      <c r="M54" s="141">
        <f t="shared" si="2"/>
        <v>0</v>
      </c>
      <c r="N54" s="141"/>
      <c r="O54" s="141">
        <v>0</v>
      </c>
      <c r="P54" s="142"/>
      <c r="Q54" s="141">
        <f t="shared" si="5"/>
        <v>0</v>
      </c>
      <c r="R54" s="6"/>
    </row>
    <row r="55" spans="1:38">
      <c r="A55" s="11" t="s">
        <v>91</v>
      </c>
      <c r="B55" s="5" t="s">
        <v>92</v>
      </c>
      <c r="C55" s="6">
        <v>0</v>
      </c>
      <c r="D55" s="32"/>
      <c r="E55" s="6">
        <f t="shared" si="4"/>
        <v>0</v>
      </c>
      <c r="F55" s="6"/>
      <c r="G55" s="6">
        <v>0</v>
      </c>
      <c r="H55" s="32"/>
      <c r="I55" s="6">
        <f t="shared" si="1"/>
        <v>0</v>
      </c>
      <c r="J55" s="6"/>
      <c r="K55" s="141">
        <v>0</v>
      </c>
      <c r="L55" s="142"/>
      <c r="M55" s="141">
        <f t="shared" si="2"/>
        <v>0</v>
      </c>
      <c r="N55" s="141"/>
      <c r="O55" s="141">
        <v>0</v>
      </c>
      <c r="P55" s="142"/>
      <c r="Q55" s="141">
        <f t="shared" si="5"/>
        <v>0</v>
      </c>
      <c r="R55" s="6"/>
    </row>
    <row r="56" spans="1:38">
      <c r="A56" s="11" t="s">
        <v>93</v>
      </c>
      <c r="B56" s="5" t="s">
        <v>94</v>
      </c>
      <c r="C56" s="6">
        <v>0</v>
      </c>
      <c r="D56" s="32"/>
      <c r="E56" s="6">
        <f t="shared" si="4"/>
        <v>0</v>
      </c>
      <c r="F56" s="6"/>
      <c r="G56" s="6">
        <v>0</v>
      </c>
      <c r="H56" s="32"/>
      <c r="I56" s="6">
        <f t="shared" si="1"/>
        <v>0</v>
      </c>
      <c r="J56" s="6"/>
      <c r="K56" s="141">
        <v>0</v>
      </c>
      <c r="L56" s="142"/>
      <c r="M56" s="141">
        <f t="shared" si="2"/>
        <v>0</v>
      </c>
      <c r="N56" s="141"/>
      <c r="O56" s="141">
        <v>0</v>
      </c>
      <c r="P56" s="142"/>
      <c r="Q56" s="141">
        <f t="shared" si="5"/>
        <v>0</v>
      </c>
      <c r="R56" s="6"/>
    </row>
    <row r="57" spans="1:38">
      <c r="A57" s="11" t="s">
        <v>95</v>
      </c>
      <c r="B57" s="5" t="s">
        <v>96</v>
      </c>
      <c r="C57" s="6">
        <v>0</v>
      </c>
      <c r="D57" s="32"/>
      <c r="E57" s="6">
        <f t="shared" si="4"/>
        <v>0</v>
      </c>
      <c r="F57" s="6"/>
      <c r="G57" s="6">
        <v>0</v>
      </c>
      <c r="H57" s="32"/>
      <c r="I57" s="6">
        <f t="shared" si="1"/>
        <v>0</v>
      </c>
      <c r="J57" s="6"/>
      <c r="K57" s="141">
        <v>35</v>
      </c>
      <c r="L57" s="142"/>
      <c r="M57" s="141">
        <f t="shared" si="2"/>
        <v>35</v>
      </c>
      <c r="N57" s="141"/>
      <c r="O57" s="141">
        <v>0</v>
      </c>
      <c r="P57" s="142"/>
      <c r="Q57" s="141">
        <f t="shared" si="5"/>
        <v>0</v>
      </c>
      <c r="R57" s="6"/>
    </row>
    <row r="58" spans="1:38">
      <c r="A58" s="11" t="s">
        <v>97</v>
      </c>
      <c r="B58" s="5" t="s">
        <v>98</v>
      </c>
      <c r="C58" s="6">
        <v>0</v>
      </c>
      <c r="D58" s="32"/>
      <c r="E58" s="6">
        <f t="shared" si="4"/>
        <v>0</v>
      </c>
      <c r="F58" s="6"/>
      <c r="G58" s="6">
        <v>0</v>
      </c>
      <c r="H58" s="32"/>
      <c r="I58" s="6">
        <f t="shared" si="1"/>
        <v>0</v>
      </c>
      <c r="J58" s="6"/>
      <c r="K58" s="141">
        <v>0</v>
      </c>
      <c r="L58" s="142"/>
      <c r="M58" s="141">
        <f t="shared" si="2"/>
        <v>0</v>
      </c>
      <c r="N58" s="141"/>
      <c r="O58" s="141">
        <v>0</v>
      </c>
      <c r="P58" s="142"/>
      <c r="Q58" s="141">
        <f t="shared" si="5"/>
        <v>0</v>
      </c>
      <c r="R58" s="6"/>
    </row>
    <row r="59" spans="1:38">
      <c r="A59" s="11" t="s">
        <v>99</v>
      </c>
      <c r="B59" s="5" t="s">
        <v>100</v>
      </c>
      <c r="C59" s="6">
        <v>0</v>
      </c>
      <c r="D59" s="32"/>
      <c r="E59" s="6">
        <f t="shared" si="4"/>
        <v>0</v>
      </c>
      <c r="F59" s="6"/>
      <c r="G59" s="6">
        <v>0</v>
      </c>
      <c r="H59" s="32"/>
      <c r="I59" s="6">
        <f t="shared" si="1"/>
        <v>0</v>
      </c>
      <c r="J59" s="6"/>
      <c r="K59" s="141">
        <v>0</v>
      </c>
      <c r="L59" s="142"/>
      <c r="M59" s="141">
        <f t="shared" si="2"/>
        <v>0</v>
      </c>
      <c r="N59" s="141"/>
      <c r="O59" s="141">
        <v>0</v>
      </c>
      <c r="P59" s="142"/>
      <c r="Q59" s="141">
        <f t="shared" si="5"/>
        <v>0</v>
      </c>
      <c r="R59" s="6"/>
    </row>
    <row r="60" spans="1:38">
      <c r="A60" s="11" t="s">
        <v>101</v>
      </c>
      <c r="B60" s="5" t="s">
        <v>102</v>
      </c>
      <c r="C60" s="6">
        <v>0</v>
      </c>
      <c r="D60" s="32"/>
      <c r="E60" s="6">
        <f t="shared" si="4"/>
        <v>0</v>
      </c>
      <c r="F60" s="6"/>
      <c r="G60" s="6">
        <v>0</v>
      </c>
      <c r="H60" s="32"/>
      <c r="I60" s="6">
        <f t="shared" si="1"/>
        <v>0</v>
      </c>
      <c r="J60" s="6"/>
      <c r="K60" s="141">
        <v>0</v>
      </c>
      <c r="L60" s="142"/>
      <c r="M60" s="141">
        <f t="shared" si="2"/>
        <v>0</v>
      </c>
      <c r="N60" s="141"/>
      <c r="O60" s="141">
        <v>0</v>
      </c>
      <c r="P60" s="142"/>
      <c r="Q60" s="141">
        <f t="shared" si="5"/>
        <v>0</v>
      </c>
      <c r="R60" s="6"/>
    </row>
    <row r="61" spans="1:38" s="12" customFormat="1" ht="22.5">
      <c r="A61" s="12" t="s">
        <v>42</v>
      </c>
      <c r="B61" s="13" t="s">
        <v>7</v>
      </c>
      <c r="C61" s="17">
        <v>12421.58628124998</v>
      </c>
      <c r="D61" s="33">
        <f>SUM(D44:D60)</f>
        <v>0</v>
      </c>
      <c r="E61" s="56">
        <f t="shared" si="4"/>
        <v>12421.58628124998</v>
      </c>
      <c r="F61" s="17"/>
      <c r="G61" s="17">
        <v>10755.714271723318</v>
      </c>
      <c r="H61" s="33">
        <f>SUM(H44:H60)</f>
        <v>0</v>
      </c>
      <c r="I61" s="56">
        <f t="shared" si="1"/>
        <v>10755.714271723318</v>
      </c>
      <c r="J61" s="17"/>
      <c r="K61" s="143">
        <v>5412.7219999999897</v>
      </c>
      <c r="L61" s="144">
        <f>SUM(L44:L60)</f>
        <v>0</v>
      </c>
      <c r="M61" s="143">
        <f t="shared" si="2"/>
        <v>5412.7219999999897</v>
      </c>
      <c r="N61" s="143"/>
      <c r="O61" s="143">
        <v>0</v>
      </c>
      <c r="P61" s="144">
        <f>SUM(P44:P60)</f>
        <v>0</v>
      </c>
      <c r="Q61" s="143">
        <f t="shared" si="5"/>
        <v>0</v>
      </c>
      <c r="R61" s="17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1:38" s="15" customFormat="1">
      <c r="A62" t="s">
        <v>103</v>
      </c>
      <c r="B62" t="s">
        <v>104</v>
      </c>
      <c r="C62" s="6">
        <v>72622.476249359694</v>
      </c>
      <c r="D62" s="34"/>
      <c r="E62" s="6">
        <f t="shared" si="4"/>
        <v>72622.476249359694</v>
      </c>
      <c r="F62" s="14"/>
      <c r="G62" s="6">
        <v>85523.1601363597</v>
      </c>
      <c r="H62" s="34"/>
      <c r="I62" s="6">
        <f t="shared" si="1"/>
        <v>85523.1601363597</v>
      </c>
      <c r="J62" s="14"/>
      <c r="K62" s="141">
        <v>87088.513985654805</v>
      </c>
      <c r="L62" s="142"/>
      <c r="M62" s="141">
        <f t="shared" si="2"/>
        <v>87088.513985654805</v>
      </c>
      <c r="N62" s="141"/>
      <c r="O62" s="141">
        <v>82175.513985654805</v>
      </c>
      <c r="P62" s="142"/>
      <c r="Q62" s="141">
        <f t="shared" si="5"/>
        <v>82175.513985654805</v>
      </c>
      <c r="R62" s="14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:38" s="15" customFormat="1">
      <c r="A63" t="s">
        <v>105</v>
      </c>
      <c r="B63" t="s">
        <v>106</v>
      </c>
      <c r="C63" s="6">
        <v>-0.42418024354367001</v>
      </c>
      <c r="D63" s="34"/>
      <c r="E63" s="6">
        <f t="shared" si="4"/>
        <v>-0.42418024354367001</v>
      </c>
      <c r="F63" s="14"/>
      <c r="G63" s="6">
        <v>-0.78644924354366896</v>
      </c>
      <c r="H63" s="34"/>
      <c r="I63" s="6">
        <f t="shared" si="1"/>
        <v>-0.78644924354366896</v>
      </c>
      <c r="J63" s="14"/>
      <c r="K63" s="141">
        <v>250.299403756456</v>
      </c>
      <c r="L63" s="142"/>
      <c r="M63" s="141">
        <f t="shared" si="2"/>
        <v>250.299403756456</v>
      </c>
      <c r="N63" s="141"/>
      <c r="O63" s="141">
        <v>-17736.7005962435</v>
      </c>
      <c r="P63" s="142"/>
      <c r="Q63" s="141">
        <f t="shared" si="5"/>
        <v>-17736.7005962435</v>
      </c>
      <c r="R63" s="14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1:38" s="15" customFormat="1">
      <c r="A64" t="s">
        <v>107</v>
      </c>
      <c r="B64" t="s">
        <v>108</v>
      </c>
      <c r="C64" s="6">
        <v>-17706</v>
      </c>
      <c r="D64" s="34"/>
      <c r="E64" s="6">
        <f t="shared" si="4"/>
        <v>-17706</v>
      </c>
      <c r="F64" s="14"/>
      <c r="G64" s="6">
        <v>-28040</v>
      </c>
      <c r="H64" s="34"/>
      <c r="I64" s="6">
        <f t="shared" si="1"/>
        <v>-28040</v>
      </c>
      <c r="J64" s="14"/>
      <c r="K64" s="141">
        <v>-20710</v>
      </c>
      <c r="L64" s="142"/>
      <c r="M64" s="141">
        <f t="shared" si="2"/>
        <v>-20710</v>
      </c>
      <c r="N64" s="141"/>
      <c r="O64" s="141">
        <v>0</v>
      </c>
      <c r="P64" s="142"/>
      <c r="Q64" s="141">
        <f t="shared" si="5"/>
        <v>0</v>
      </c>
      <c r="R64" s="1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s="15" customFormat="1">
      <c r="A65" t="s">
        <v>109</v>
      </c>
      <c r="B65" t="s">
        <v>110</v>
      </c>
      <c r="C65" s="6">
        <v>0</v>
      </c>
      <c r="D65" s="34"/>
      <c r="E65" s="6">
        <f t="shared" si="4"/>
        <v>0</v>
      </c>
      <c r="F65" s="14"/>
      <c r="G65" s="6">
        <v>0</v>
      </c>
      <c r="H65" s="34"/>
      <c r="I65" s="6">
        <f t="shared" si="1"/>
        <v>0</v>
      </c>
      <c r="J65" s="14"/>
      <c r="K65" s="141">
        <v>0</v>
      </c>
      <c r="L65" s="142"/>
      <c r="M65" s="141">
        <f t="shared" si="2"/>
        <v>0</v>
      </c>
      <c r="N65" s="141"/>
      <c r="O65" s="141">
        <v>0</v>
      </c>
      <c r="P65" s="142"/>
      <c r="Q65" s="141">
        <f t="shared" si="5"/>
        <v>0</v>
      </c>
      <c r="R65" s="14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1:38" s="15" customFormat="1">
      <c r="A66" t="s">
        <v>111</v>
      </c>
      <c r="B66" t="s">
        <v>112</v>
      </c>
      <c r="C66" s="6">
        <v>97521.89933</v>
      </c>
      <c r="D66" s="34"/>
      <c r="E66" s="6">
        <f t="shared" si="4"/>
        <v>97521.89933</v>
      </c>
      <c r="F66" s="14"/>
      <c r="G66" s="6">
        <v>103778.059717</v>
      </c>
      <c r="H66" s="34"/>
      <c r="I66" s="6">
        <f t="shared" si="1"/>
        <v>103778.059717</v>
      </c>
      <c r="J66" s="14"/>
      <c r="K66" s="141">
        <v>99824.677779000005</v>
      </c>
      <c r="L66" s="142"/>
      <c r="M66" s="141">
        <f t="shared" si="2"/>
        <v>99824.677779000005</v>
      </c>
      <c r="N66" s="141"/>
      <c r="O66" s="141">
        <v>99824.677779000005</v>
      </c>
      <c r="P66" s="142"/>
      <c r="Q66" s="141">
        <f t="shared" si="5"/>
        <v>99824.677779000005</v>
      </c>
      <c r="R66" s="14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:38" s="15" customFormat="1">
      <c r="A67" t="s">
        <v>113</v>
      </c>
      <c r="B67" t="s">
        <v>114</v>
      </c>
      <c r="C67" s="6">
        <v>-170.842725</v>
      </c>
      <c r="D67" s="34"/>
      <c r="E67" s="6">
        <f t="shared" si="4"/>
        <v>-170.842725</v>
      </c>
      <c r="F67" s="14"/>
      <c r="G67" s="6">
        <v>-190.72642500000001</v>
      </c>
      <c r="H67" s="34"/>
      <c r="I67" s="6">
        <f t="shared" si="1"/>
        <v>-190.72642500000001</v>
      </c>
      <c r="J67" s="14"/>
      <c r="K67" s="141">
        <v>-393.07999999999902</v>
      </c>
      <c r="L67" s="142"/>
      <c r="M67" s="141">
        <f t="shared" si="2"/>
        <v>-393.07999999999902</v>
      </c>
      <c r="N67" s="141"/>
      <c r="O67" s="141">
        <v>-6350.0799999999899</v>
      </c>
      <c r="P67" s="142"/>
      <c r="Q67" s="141">
        <f t="shared" si="5"/>
        <v>-6350.0799999999899</v>
      </c>
      <c r="R67" s="14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1:38" s="15" customFormat="1">
      <c r="A68" t="s">
        <v>115</v>
      </c>
      <c r="B68" t="s">
        <v>116</v>
      </c>
      <c r="C68" s="6">
        <v>-5243</v>
      </c>
      <c r="D68" s="34"/>
      <c r="E68" s="6">
        <f t="shared" si="4"/>
        <v>-5243</v>
      </c>
      <c r="F68" s="14"/>
      <c r="G68" s="6">
        <v>-5500</v>
      </c>
      <c r="H68" s="34"/>
      <c r="I68" s="6">
        <f t="shared" si="1"/>
        <v>-5500</v>
      </c>
      <c r="J68" s="14"/>
      <c r="K68" s="141">
        <v>-5957</v>
      </c>
      <c r="L68" s="142"/>
      <c r="M68" s="141">
        <f t="shared" si="2"/>
        <v>-5957</v>
      </c>
      <c r="N68" s="141"/>
      <c r="O68" s="141">
        <v>0</v>
      </c>
      <c r="P68" s="142"/>
      <c r="Q68" s="141">
        <f t="shared" si="5"/>
        <v>0</v>
      </c>
      <c r="R68" s="14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:38" s="15" customFormat="1">
      <c r="A69" t="s">
        <v>117</v>
      </c>
      <c r="B69" t="s">
        <v>118</v>
      </c>
      <c r="C69" s="6">
        <v>0</v>
      </c>
      <c r="D69" s="34"/>
      <c r="E69" s="6">
        <f t="shared" si="4"/>
        <v>0</v>
      </c>
      <c r="F69" s="14"/>
      <c r="G69" s="6">
        <v>0</v>
      </c>
      <c r="H69" s="34"/>
      <c r="I69" s="6">
        <f t="shared" si="1"/>
        <v>0</v>
      </c>
      <c r="J69" s="14"/>
      <c r="K69" s="141">
        <v>0</v>
      </c>
      <c r="L69" s="142"/>
      <c r="M69" s="141">
        <f t="shared" si="2"/>
        <v>0</v>
      </c>
      <c r="N69" s="141"/>
      <c r="O69" s="141">
        <v>0</v>
      </c>
      <c r="P69" s="142"/>
      <c r="Q69" s="141">
        <f t="shared" si="5"/>
        <v>0</v>
      </c>
      <c r="R69" s="14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</row>
    <row r="70" spans="1:38" s="15" customFormat="1">
      <c r="A70" s="11" t="s">
        <v>119</v>
      </c>
      <c r="B70" s="11" t="s">
        <v>120</v>
      </c>
      <c r="C70" s="6">
        <v>2407</v>
      </c>
      <c r="D70" s="34"/>
      <c r="E70" s="6">
        <f t="shared" si="4"/>
        <v>2407</v>
      </c>
      <c r="F70" s="14"/>
      <c r="G70" s="6">
        <v>17328.4752899999</v>
      </c>
      <c r="H70" s="34"/>
      <c r="I70" s="6">
        <f t="shared" si="1"/>
        <v>17328.4752899999</v>
      </c>
      <c r="J70" s="14"/>
      <c r="K70" s="141">
        <v>8048.4912080000004</v>
      </c>
      <c r="L70" s="142"/>
      <c r="M70" s="141">
        <f t="shared" si="2"/>
        <v>8048.4912080000004</v>
      </c>
      <c r="N70" s="141"/>
      <c r="O70" s="141">
        <v>8048.4912080000004</v>
      </c>
      <c r="P70" s="142"/>
      <c r="Q70" s="141">
        <f t="shared" si="5"/>
        <v>8048.4912080000004</v>
      </c>
      <c r="R70" s="14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s="15" customFormat="1">
      <c r="A71" t="s">
        <v>121</v>
      </c>
      <c r="B71" t="s">
        <v>122</v>
      </c>
      <c r="C71" s="6">
        <v>0</v>
      </c>
      <c r="D71" s="34"/>
      <c r="E71" s="6">
        <f t="shared" si="4"/>
        <v>0</v>
      </c>
      <c r="F71" s="14"/>
      <c r="G71" s="6">
        <v>0</v>
      </c>
      <c r="H71" s="34"/>
      <c r="I71" s="6">
        <f t="shared" si="1"/>
        <v>0</v>
      </c>
      <c r="J71" s="14"/>
      <c r="K71" s="141">
        <v>0</v>
      </c>
      <c r="L71" s="142"/>
      <c r="M71" s="141">
        <f t="shared" si="2"/>
        <v>0</v>
      </c>
      <c r="N71" s="141"/>
      <c r="O71" s="141">
        <v>-384.49200000000002</v>
      </c>
      <c r="P71" s="142"/>
      <c r="Q71" s="141">
        <f t="shared" si="5"/>
        <v>-384.49200000000002</v>
      </c>
      <c r="R71" s="14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</row>
    <row r="72" spans="1:38" s="15" customFormat="1">
      <c r="A72" t="s">
        <v>123</v>
      </c>
      <c r="B72" t="s">
        <v>124</v>
      </c>
      <c r="C72" s="6">
        <v>0</v>
      </c>
      <c r="D72" s="34"/>
      <c r="E72" s="6">
        <f t="shared" si="4"/>
        <v>0</v>
      </c>
      <c r="F72" s="14"/>
      <c r="G72" s="6">
        <v>0</v>
      </c>
      <c r="H72" s="34"/>
      <c r="I72" s="6">
        <f t="shared" si="1"/>
        <v>0</v>
      </c>
      <c r="J72" s="14"/>
      <c r="K72" s="141">
        <v>-384.49200000000002</v>
      </c>
      <c r="L72" s="142"/>
      <c r="M72" s="141">
        <f t="shared" si="2"/>
        <v>-384.49200000000002</v>
      </c>
      <c r="N72" s="141"/>
      <c r="O72" s="141">
        <v>0</v>
      </c>
      <c r="P72" s="142"/>
      <c r="Q72" s="141">
        <f t="shared" si="5"/>
        <v>0</v>
      </c>
      <c r="R72" s="14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</row>
    <row r="73" spans="1:38" s="15" customFormat="1">
      <c r="A73" t="s">
        <v>125</v>
      </c>
      <c r="B73" t="s">
        <v>126</v>
      </c>
      <c r="C73" s="6">
        <v>0</v>
      </c>
      <c r="D73" s="34"/>
      <c r="E73" s="6">
        <f t="shared" si="4"/>
        <v>0</v>
      </c>
      <c r="F73" s="14"/>
      <c r="G73" s="6">
        <v>0</v>
      </c>
      <c r="H73" s="34"/>
      <c r="I73" s="6">
        <f t="shared" si="1"/>
        <v>0</v>
      </c>
      <c r="J73" s="14"/>
      <c r="K73" s="141">
        <v>0</v>
      </c>
      <c r="L73" s="142"/>
      <c r="M73" s="141">
        <f t="shared" si="2"/>
        <v>0</v>
      </c>
      <c r="N73" s="141"/>
      <c r="O73" s="141">
        <v>0</v>
      </c>
      <c r="P73" s="142"/>
      <c r="Q73" s="141">
        <f t="shared" si="5"/>
        <v>0</v>
      </c>
      <c r="R73" s="14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</row>
    <row r="74" spans="1:38" s="15" customFormat="1">
      <c r="A74" t="s">
        <v>127</v>
      </c>
      <c r="B74" t="s">
        <v>128</v>
      </c>
      <c r="C74" s="6">
        <v>0</v>
      </c>
      <c r="D74" s="34"/>
      <c r="E74" s="6">
        <f t="shared" si="4"/>
        <v>0</v>
      </c>
      <c r="F74" s="14"/>
      <c r="G74" s="6">
        <v>0</v>
      </c>
      <c r="H74" s="34"/>
      <c r="I74" s="6">
        <f t="shared" si="1"/>
        <v>0</v>
      </c>
      <c r="J74" s="14"/>
      <c r="K74" s="141">
        <v>2216</v>
      </c>
      <c r="L74" s="142"/>
      <c r="M74" s="141">
        <f t="shared" si="2"/>
        <v>2216</v>
      </c>
      <c r="N74" s="141"/>
      <c r="O74" s="141">
        <v>2583.0799999999899</v>
      </c>
      <c r="P74" s="142"/>
      <c r="Q74" s="141">
        <f t="shared" si="5"/>
        <v>2583.0799999999899</v>
      </c>
      <c r="R74" s="1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</row>
    <row r="75" spans="1:38" s="15" customFormat="1">
      <c r="A75" t="s">
        <v>129</v>
      </c>
      <c r="B75" t="s">
        <v>130</v>
      </c>
      <c r="C75" s="6">
        <v>0</v>
      </c>
      <c r="D75" s="34"/>
      <c r="E75" s="6">
        <f t="shared" si="4"/>
        <v>0</v>
      </c>
      <c r="F75" s="14"/>
      <c r="G75" s="6">
        <v>0</v>
      </c>
      <c r="H75" s="34"/>
      <c r="I75" s="6">
        <f t="shared" si="1"/>
        <v>0</v>
      </c>
      <c r="J75" s="14"/>
      <c r="K75" s="141">
        <v>0</v>
      </c>
      <c r="L75" s="142"/>
      <c r="M75" s="141">
        <f t="shared" si="2"/>
        <v>0</v>
      </c>
      <c r="N75" s="141"/>
      <c r="O75" s="141">
        <v>-1142</v>
      </c>
      <c r="P75" s="142"/>
      <c r="Q75" s="141">
        <f t="shared" si="5"/>
        <v>-1142</v>
      </c>
      <c r="R75" s="14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</row>
    <row r="76" spans="1:38" s="15" customFormat="1">
      <c r="A76" t="s">
        <v>131</v>
      </c>
      <c r="B76" t="s">
        <v>132</v>
      </c>
      <c r="C76" s="6">
        <v>0</v>
      </c>
      <c r="D76" s="34"/>
      <c r="E76" s="6">
        <f t="shared" si="4"/>
        <v>0</v>
      </c>
      <c r="F76" s="14"/>
      <c r="G76" s="6">
        <v>0</v>
      </c>
      <c r="H76" s="34"/>
      <c r="I76" s="6">
        <f t="shared" si="1"/>
        <v>0</v>
      </c>
      <c r="J76" s="14"/>
      <c r="K76" s="141">
        <v>-1142</v>
      </c>
      <c r="L76" s="142"/>
      <c r="M76" s="141">
        <f t="shared" si="2"/>
        <v>-1142</v>
      </c>
      <c r="N76" s="141"/>
      <c r="O76" s="141">
        <v>0</v>
      </c>
      <c r="P76" s="142"/>
      <c r="Q76" s="141">
        <f t="shared" si="5"/>
        <v>0</v>
      </c>
      <c r="R76" s="14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</row>
    <row r="77" spans="1:38" s="15" customFormat="1">
      <c r="A77" t="s">
        <v>133</v>
      </c>
      <c r="B77" t="s">
        <v>134</v>
      </c>
      <c r="C77" s="6">
        <v>0</v>
      </c>
      <c r="D77" s="34"/>
      <c r="E77" s="6">
        <f t="shared" si="4"/>
        <v>0</v>
      </c>
      <c r="F77" s="14"/>
      <c r="G77" s="6">
        <v>0</v>
      </c>
      <c r="H77" s="34"/>
      <c r="I77" s="6">
        <f t="shared" ref="I77:I145" si="6">SUM(G77:H77)</f>
        <v>0</v>
      </c>
      <c r="J77" s="14"/>
      <c r="K77" s="141">
        <v>0</v>
      </c>
      <c r="L77" s="142"/>
      <c r="M77" s="141">
        <f t="shared" ref="M77:M145" si="7">SUM(K77:L77)</f>
        <v>0</v>
      </c>
      <c r="N77" s="141"/>
      <c r="O77" s="141">
        <v>0</v>
      </c>
      <c r="P77" s="142"/>
      <c r="Q77" s="141">
        <f t="shared" si="5"/>
        <v>0</v>
      </c>
      <c r="R77" s="14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</row>
    <row r="78" spans="1:38" s="15" customFormat="1">
      <c r="A78" t="s">
        <v>135</v>
      </c>
      <c r="B78" t="s">
        <v>136</v>
      </c>
      <c r="C78" s="6">
        <v>946</v>
      </c>
      <c r="D78" s="34"/>
      <c r="E78" s="6">
        <f t="shared" si="4"/>
        <v>946</v>
      </c>
      <c r="F78" s="14"/>
      <c r="G78" s="6">
        <v>0</v>
      </c>
      <c r="H78" s="34"/>
      <c r="I78" s="6">
        <f t="shared" si="6"/>
        <v>0</v>
      </c>
      <c r="J78" s="14"/>
      <c r="K78" s="141">
        <v>0</v>
      </c>
      <c r="L78" s="142"/>
      <c r="M78" s="141">
        <f t="shared" si="7"/>
        <v>0</v>
      </c>
      <c r="N78" s="141"/>
      <c r="O78" s="141">
        <v>0</v>
      </c>
      <c r="P78" s="142"/>
      <c r="Q78" s="141">
        <f t="shared" si="5"/>
        <v>0</v>
      </c>
      <c r="R78" s="14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</row>
    <row r="79" spans="1:38" s="15" customFormat="1">
      <c r="A79" t="s">
        <v>137</v>
      </c>
      <c r="B79" t="s">
        <v>138</v>
      </c>
      <c r="C79" s="6">
        <v>0</v>
      </c>
      <c r="D79" s="34"/>
      <c r="E79" s="6">
        <f t="shared" si="4"/>
        <v>0</v>
      </c>
      <c r="F79" s="14"/>
      <c r="G79" s="6">
        <v>0</v>
      </c>
      <c r="H79" s="34"/>
      <c r="I79" s="6">
        <f t="shared" si="6"/>
        <v>0</v>
      </c>
      <c r="J79" s="14"/>
      <c r="K79" s="141">
        <v>0</v>
      </c>
      <c r="L79" s="142"/>
      <c r="M79" s="141">
        <f t="shared" si="7"/>
        <v>0</v>
      </c>
      <c r="N79" s="141"/>
      <c r="O79" s="141">
        <v>0</v>
      </c>
      <c r="P79" s="142"/>
      <c r="Q79" s="141">
        <f t="shared" si="5"/>
        <v>0</v>
      </c>
      <c r="R79" s="14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:38" s="15" customFormat="1">
      <c r="A80" t="s">
        <v>139</v>
      </c>
      <c r="B80" t="s">
        <v>140</v>
      </c>
      <c r="C80" s="6">
        <v>0</v>
      </c>
      <c r="D80" s="34"/>
      <c r="E80" s="6">
        <f t="shared" si="4"/>
        <v>0</v>
      </c>
      <c r="F80" s="14"/>
      <c r="G80" s="6">
        <v>0</v>
      </c>
      <c r="H80" s="34"/>
      <c r="I80" s="6">
        <f t="shared" si="6"/>
        <v>0</v>
      </c>
      <c r="J80" s="14"/>
      <c r="K80" s="141">
        <v>0</v>
      </c>
      <c r="L80" s="142"/>
      <c r="M80" s="141">
        <f t="shared" si="7"/>
        <v>0</v>
      </c>
      <c r="N80" s="141"/>
      <c r="O80" s="141">
        <v>0</v>
      </c>
      <c r="P80" s="142"/>
      <c r="Q80" s="141">
        <f t="shared" si="5"/>
        <v>0</v>
      </c>
      <c r="R80" s="14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</row>
    <row r="81" spans="1:38" s="15" customFormat="1">
      <c r="A81" t="s">
        <v>141</v>
      </c>
      <c r="B81" t="s">
        <v>142</v>
      </c>
      <c r="C81" s="6">
        <v>0</v>
      </c>
      <c r="D81" s="34"/>
      <c r="E81" s="6">
        <f t="shared" si="4"/>
        <v>0</v>
      </c>
      <c r="F81" s="14"/>
      <c r="G81" s="6">
        <v>0</v>
      </c>
      <c r="H81" s="34"/>
      <c r="I81" s="6">
        <f t="shared" si="6"/>
        <v>0</v>
      </c>
      <c r="J81" s="14"/>
      <c r="K81" s="141">
        <v>0</v>
      </c>
      <c r="L81" s="142"/>
      <c r="M81" s="141">
        <f t="shared" si="7"/>
        <v>0</v>
      </c>
      <c r="N81" s="141"/>
      <c r="O81" s="141">
        <v>0</v>
      </c>
      <c r="P81" s="142"/>
      <c r="Q81" s="141">
        <f t="shared" si="5"/>
        <v>0</v>
      </c>
      <c r="R81" s="14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</row>
    <row r="82" spans="1:38" s="15" customFormat="1">
      <c r="A82" t="s">
        <v>143</v>
      </c>
      <c r="B82" t="s">
        <v>144</v>
      </c>
      <c r="C82" s="6">
        <v>0</v>
      </c>
      <c r="D82" s="34"/>
      <c r="E82" s="6">
        <f t="shared" si="4"/>
        <v>0</v>
      </c>
      <c r="F82" s="14"/>
      <c r="G82" s="6">
        <v>0</v>
      </c>
      <c r="H82" s="34"/>
      <c r="I82" s="6">
        <f t="shared" si="6"/>
        <v>0</v>
      </c>
      <c r="J82" s="14"/>
      <c r="K82" s="141">
        <v>25276.81</v>
      </c>
      <c r="L82" s="142"/>
      <c r="M82" s="141">
        <f t="shared" si="7"/>
        <v>25276.81</v>
      </c>
      <c r="N82" s="141"/>
      <c r="O82" s="141">
        <v>27763.81</v>
      </c>
      <c r="P82" s="142"/>
      <c r="Q82" s="141">
        <f t="shared" si="5"/>
        <v>27763.81</v>
      </c>
      <c r="R82" s="14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s="15" customFormat="1">
      <c r="A83" t="s">
        <v>145</v>
      </c>
      <c r="B83" t="s">
        <v>146</v>
      </c>
      <c r="C83" s="6">
        <v>0</v>
      </c>
      <c r="D83" s="34"/>
      <c r="E83" s="6">
        <f t="shared" si="4"/>
        <v>0</v>
      </c>
      <c r="F83" s="14"/>
      <c r="G83" s="6">
        <v>0</v>
      </c>
      <c r="H83" s="34"/>
      <c r="I83" s="6">
        <f t="shared" si="6"/>
        <v>0</v>
      </c>
      <c r="J83" s="14"/>
      <c r="K83" s="141">
        <v>-23004.75</v>
      </c>
      <c r="L83" s="142"/>
      <c r="M83" s="141">
        <f t="shared" si="7"/>
        <v>-23004.75</v>
      </c>
      <c r="N83" s="141"/>
      <c r="O83" s="141">
        <v>-24969.75</v>
      </c>
      <c r="P83" s="142"/>
      <c r="Q83" s="141">
        <f t="shared" si="5"/>
        <v>-24969.75</v>
      </c>
      <c r="R83" s="14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</row>
    <row r="84" spans="1:38" s="15" customFormat="1">
      <c r="A84" t="s">
        <v>147</v>
      </c>
      <c r="B84" t="s">
        <v>148</v>
      </c>
      <c r="C84" s="6">
        <v>0</v>
      </c>
      <c r="D84" s="34"/>
      <c r="E84" s="6">
        <f t="shared" si="4"/>
        <v>0</v>
      </c>
      <c r="F84" s="14"/>
      <c r="G84" s="6">
        <v>0</v>
      </c>
      <c r="H84" s="34"/>
      <c r="I84" s="6">
        <f t="shared" si="6"/>
        <v>0</v>
      </c>
      <c r="J84" s="14"/>
      <c r="K84" s="141">
        <v>0</v>
      </c>
      <c r="L84" s="142"/>
      <c r="M84" s="141">
        <f t="shared" si="7"/>
        <v>0</v>
      </c>
      <c r="N84" s="141"/>
      <c r="O84" s="141">
        <v>0</v>
      </c>
      <c r="P84" s="142"/>
      <c r="Q84" s="141">
        <f t="shared" si="5"/>
        <v>0</v>
      </c>
      <c r="R84" s="1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</row>
    <row r="85" spans="1:38" s="15" customFormat="1">
      <c r="A85" t="s">
        <v>149</v>
      </c>
      <c r="B85" t="s">
        <v>150</v>
      </c>
      <c r="C85" s="6">
        <v>0</v>
      </c>
      <c r="D85" s="34"/>
      <c r="E85" s="6">
        <f t="shared" si="4"/>
        <v>0</v>
      </c>
      <c r="F85" s="14"/>
      <c r="G85" s="6">
        <v>0</v>
      </c>
      <c r="H85" s="34"/>
      <c r="I85" s="6">
        <f t="shared" si="6"/>
        <v>0</v>
      </c>
      <c r="J85" s="14"/>
      <c r="K85" s="141">
        <v>0</v>
      </c>
      <c r="L85" s="142"/>
      <c r="M85" s="141">
        <f t="shared" si="7"/>
        <v>0</v>
      </c>
      <c r="N85" s="141"/>
      <c r="O85" s="141">
        <v>0</v>
      </c>
      <c r="P85" s="142"/>
      <c r="Q85" s="141">
        <f t="shared" si="5"/>
        <v>0</v>
      </c>
      <c r="R85" s="14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</row>
    <row r="86" spans="1:38" s="15" customFormat="1">
      <c r="A86" t="s">
        <v>151</v>
      </c>
      <c r="B86" t="s">
        <v>152</v>
      </c>
      <c r="C86" s="6">
        <v>23449.880300000001</v>
      </c>
      <c r="D86" s="34"/>
      <c r="E86" s="6">
        <f t="shared" si="4"/>
        <v>23449.880300000001</v>
      </c>
      <c r="F86" s="14"/>
      <c r="G86" s="6">
        <v>30418.205464999901</v>
      </c>
      <c r="H86" s="34"/>
      <c r="I86" s="6">
        <f t="shared" si="6"/>
        <v>30418.205464999901</v>
      </c>
      <c r="J86" s="14"/>
      <c r="K86" s="141">
        <v>39248.574335999903</v>
      </c>
      <c r="L86" s="142"/>
      <c r="M86" s="141">
        <f t="shared" si="7"/>
        <v>39248.574335999903</v>
      </c>
      <c r="N86" s="141"/>
      <c r="O86" s="141">
        <v>39249.397611</v>
      </c>
      <c r="P86" s="142"/>
      <c r="Q86" s="141">
        <f t="shared" si="5"/>
        <v>39249.397611</v>
      </c>
      <c r="R86" s="14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</row>
    <row r="87" spans="1:38" s="15" customFormat="1">
      <c r="A87" t="s">
        <v>153</v>
      </c>
      <c r="B87" t="s">
        <v>154</v>
      </c>
      <c r="C87" s="6">
        <v>-2159.2804999999898</v>
      </c>
      <c r="D87" s="34"/>
      <c r="E87" s="6">
        <f t="shared" si="4"/>
        <v>-2159.2804999999898</v>
      </c>
      <c r="F87" s="14"/>
      <c r="G87" s="6">
        <v>-2378.2494999999899</v>
      </c>
      <c r="H87" s="34"/>
      <c r="I87" s="6">
        <f t="shared" si="6"/>
        <v>-2378.2494999999899</v>
      </c>
      <c r="J87" s="14"/>
      <c r="K87" s="141">
        <v>-1897.4</v>
      </c>
      <c r="L87" s="142"/>
      <c r="M87" s="141">
        <f t="shared" si="7"/>
        <v>-1897.4</v>
      </c>
      <c r="N87" s="141"/>
      <c r="O87" s="141">
        <v>-2046.4</v>
      </c>
      <c r="P87" s="142"/>
      <c r="Q87" s="141">
        <f t="shared" si="5"/>
        <v>-2046.4</v>
      </c>
      <c r="R87" s="14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</row>
    <row r="88" spans="1:38" s="15" customFormat="1">
      <c r="A88" t="s">
        <v>155</v>
      </c>
      <c r="B88" t="s">
        <v>156</v>
      </c>
      <c r="C88" s="6">
        <v>-729.19102399999895</v>
      </c>
      <c r="D88" s="34"/>
      <c r="E88" s="6">
        <f t="shared" si="4"/>
        <v>-729.19102399999895</v>
      </c>
      <c r="F88" s="14"/>
      <c r="G88" s="6">
        <v>-190</v>
      </c>
      <c r="H88" s="34"/>
      <c r="I88" s="6">
        <f t="shared" si="6"/>
        <v>-190</v>
      </c>
      <c r="J88" s="14"/>
      <c r="K88" s="141">
        <v>-149</v>
      </c>
      <c r="L88" s="142"/>
      <c r="M88" s="141">
        <f t="shared" si="7"/>
        <v>-149</v>
      </c>
      <c r="N88" s="141"/>
      <c r="O88" s="141">
        <v>0</v>
      </c>
      <c r="P88" s="142"/>
      <c r="Q88" s="141">
        <f t="shared" si="5"/>
        <v>0</v>
      </c>
      <c r="R88" s="14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</row>
    <row r="89" spans="1:38" s="15" customFormat="1">
      <c r="A89" t="s">
        <v>157</v>
      </c>
      <c r="B89" t="s">
        <v>158</v>
      </c>
      <c r="C89" s="6">
        <v>0</v>
      </c>
      <c r="D89" s="34"/>
      <c r="E89" s="6">
        <f t="shared" si="4"/>
        <v>0</v>
      </c>
      <c r="F89" s="14"/>
      <c r="G89" s="6">
        <v>0</v>
      </c>
      <c r="H89" s="34"/>
      <c r="I89" s="6">
        <f t="shared" si="6"/>
        <v>0</v>
      </c>
      <c r="J89" s="14"/>
      <c r="K89" s="141">
        <v>0</v>
      </c>
      <c r="L89" s="142"/>
      <c r="M89" s="141">
        <f t="shared" si="7"/>
        <v>0</v>
      </c>
      <c r="N89" s="141"/>
      <c r="O89" s="141">
        <v>0</v>
      </c>
      <c r="P89" s="142"/>
      <c r="Q89" s="141">
        <f t="shared" si="5"/>
        <v>0</v>
      </c>
      <c r="R89" s="14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</row>
    <row r="90" spans="1:38" s="15" customFormat="1">
      <c r="A90" t="s">
        <v>159</v>
      </c>
      <c r="B90" t="s">
        <v>160</v>
      </c>
      <c r="C90" s="6">
        <v>0</v>
      </c>
      <c r="D90" s="34"/>
      <c r="E90" s="6">
        <f t="shared" si="4"/>
        <v>0</v>
      </c>
      <c r="F90" s="14"/>
      <c r="G90" s="6">
        <v>126.79415</v>
      </c>
      <c r="H90" s="34"/>
      <c r="I90" s="6">
        <f t="shared" si="6"/>
        <v>126.79415</v>
      </c>
      <c r="J90" s="14"/>
      <c r="K90" s="141">
        <v>96.745599999999897</v>
      </c>
      <c r="L90" s="142"/>
      <c r="M90" s="141">
        <f t="shared" si="7"/>
        <v>96.745599999999897</v>
      </c>
      <c r="N90" s="141"/>
      <c r="O90" s="141">
        <v>96.745599999999897</v>
      </c>
      <c r="P90" s="142"/>
      <c r="Q90" s="141">
        <f t="shared" si="5"/>
        <v>96.745599999999897</v>
      </c>
      <c r="R90" s="14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</row>
    <row r="91" spans="1:38" s="15" customFormat="1">
      <c r="A91" t="s">
        <v>161</v>
      </c>
      <c r="B91" t="s">
        <v>162</v>
      </c>
      <c r="C91" s="6">
        <v>0</v>
      </c>
      <c r="D91" s="34"/>
      <c r="E91" s="6">
        <f t="shared" si="4"/>
        <v>0</v>
      </c>
      <c r="F91" s="14"/>
      <c r="G91" s="6">
        <v>0</v>
      </c>
      <c r="H91" s="34"/>
      <c r="I91" s="6">
        <f t="shared" si="6"/>
        <v>0</v>
      </c>
      <c r="J91" s="14"/>
      <c r="K91" s="141">
        <v>0</v>
      </c>
      <c r="L91" s="142"/>
      <c r="M91" s="141">
        <f t="shared" si="7"/>
        <v>0</v>
      </c>
      <c r="N91" s="141"/>
      <c r="O91" s="141">
        <v>0</v>
      </c>
      <c r="P91" s="142"/>
      <c r="Q91" s="141">
        <f t="shared" si="5"/>
        <v>0</v>
      </c>
      <c r="R91" s="14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</row>
    <row r="92" spans="1:38" s="15" customFormat="1">
      <c r="A92" t="s">
        <v>163</v>
      </c>
      <c r="B92" t="s">
        <v>164</v>
      </c>
      <c r="C92" s="6">
        <v>0</v>
      </c>
      <c r="D92" s="34"/>
      <c r="E92" s="6">
        <f t="shared" si="4"/>
        <v>0</v>
      </c>
      <c r="F92" s="14"/>
      <c r="G92" s="6">
        <v>0</v>
      </c>
      <c r="H92" s="34"/>
      <c r="I92" s="6">
        <f t="shared" si="6"/>
        <v>0</v>
      </c>
      <c r="J92" s="14"/>
      <c r="K92" s="141">
        <v>0</v>
      </c>
      <c r="L92" s="142"/>
      <c r="M92" s="141">
        <f t="shared" si="7"/>
        <v>0</v>
      </c>
      <c r="N92" s="141"/>
      <c r="O92" s="141">
        <v>0</v>
      </c>
      <c r="P92" s="142"/>
      <c r="Q92" s="141">
        <f t="shared" si="5"/>
        <v>0</v>
      </c>
      <c r="R92" s="14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</row>
    <row r="93" spans="1:38" s="15" customFormat="1">
      <c r="A93" t="s">
        <v>165</v>
      </c>
      <c r="B93" t="s">
        <v>166</v>
      </c>
      <c r="C93" s="6">
        <v>0</v>
      </c>
      <c r="D93" s="34"/>
      <c r="E93" s="6">
        <f t="shared" si="4"/>
        <v>0</v>
      </c>
      <c r="F93" s="14"/>
      <c r="G93" s="6">
        <v>0</v>
      </c>
      <c r="H93" s="34"/>
      <c r="I93" s="6">
        <f t="shared" si="6"/>
        <v>0</v>
      </c>
      <c r="J93" s="14"/>
      <c r="K93" s="141">
        <v>0</v>
      </c>
      <c r="L93" s="142"/>
      <c r="M93" s="141">
        <f t="shared" si="7"/>
        <v>0</v>
      </c>
      <c r="N93" s="141"/>
      <c r="O93" s="141">
        <v>0</v>
      </c>
      <c r="P93" s="142"/>
      <c r="Q93" s="141">
        <f t="shared" si="5"/>
        <v>0</v>
      </c>
      <c r="R93" s="14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</row>
    <row r="94" spans="1:38" s="15" customFormat="1">
      <c r="A94" t="s">
        <v>167</v>
      </c>
      <c r="B94" t="s">
        <v>168</v>
      </c>
      <c r="C94" s="6">
        <v>0</v>
      </c>
      <c r="D94" s="34"/>
      <c r="E94" s="6">
        <f t="shared" si="4"/>
        <v>0</v>
      </c>
      <c r="F94" s="14"/>
      <c r="G94" s="6">
        <v>0</v>
      </c>
      <c r="H94" s="34"/>
      <c r="I94" s="6">
        <f t="shared" si="6"/>
        <v>0</v>
      </c>
      <c r="J94" s="14"/>
      <c r="K94" s="141">
        <v>0</v>
      </c>
      <c r="L94" s="142"/>
      <c r="M94" s="141">
        <f t="shared" si="7"/>
        <v>0</v>
      </c>
      <c r="N94" s="141"/>
      <c r="O94" s="141">
        <v>-85</v>
      </c>
      <c r="P94" s="142"/>
      <c r="Q94" s="141">
        <f t="shared" si="5"/>
        <v>-85</v>
      </c>
      <c r="R94" s="1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</row>
    <row r="95" spans="1:38" s="15" customFormat="1">
      <c r="A95" t="s">
        <v>169</v>
      </c>
      <c r="B95" t="s">
        <v>170</v>
      </c>
      <c r="C95" s="6">
        <v>0</v>
      </c>
      <c r="D95" s="34"/>
      <c r="E95" s="6">
        <f t="shared" si="4"/>
        <v>0</v>
      </c>
      <c r="F95" s="14"/>
      <c r="G95" s="6">
        <v>0</v>
      </c>
      <c r="H95" s="34"/>
      <c r="I95" s="6">
        <f t="shared" si="6"/>
        <v>0</v>
      </c>
      <c r="J95" s="14"/>
      <c r="K95" s="141">
        <v>0</v>
      </c>
      <c r="L95" s="142"/>
      <c r="M95" s="141">
        <f t="shared" si="7"/>
        <v>0</v>
      </c>
      <c r="N95" s="141"/>
      <c r="O95" s="141">
        <v>0</v>
      </c>
      <c r="P95" s="142"/>
      <c r="Q95" s="141">
        <f t="shared" si="5"/>
        <v>0</v>
      </c>
      <c r="R95" s="14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</row>
    <row r="96" spans="1:38" s="15" customFormat="1">
      <c r="A96" t="s">
        <v>290</v>
      </c>
      <c r="B96" t="s">
        <v>293</v>
      </c>
      <c r="C96" s="6">
        <v>269572.707380999</v>
      </c>
      <c r="D96" s="34">
        <v>20</v>
      </c>
      <c r="E96" s="6">
        <f t="shared" si="4"/>
        <v>269592.707380999</v>
      </c>
      <c r="F96" s="14"/>
      <c r="G96" s="6">
        <v>285172.42632569902</v>
      </c>
      <c r="H96" s="34"/>
      <c r="I96" s="6">
        <f t="shared" si="6"/>
        <v>285172.42632569902</v>
      </c>
      <c r="J96" s="14"/>
      <c r="K96" s="141">
        <v>215650.85711447801</v>
      </c>
      <c r="L96" s="142"/>
      <c r="M96" s="141">
        <f>SUM(K96:L96)</f>
        <v>215650.85711447801</v>
      </c>
      <c r="N96" s="141"/>
      <c r="O96" s="141">
        <v>215650.85711447801</v>
      </c>
      <c r="P96" s="142"/>
      <c r="Q96" s="141">
        <f>SUM(O96:P96)</f>
        <v>215650.85711447801</v>
      </c>
      <c r="R96" s="14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</row>
    <row r="97" spans="1:38" s="15" customFormat="1">
      <c r="A97" t="s">
        <v>291</v>
      </c>
      <c r="B97" t="s">
        <v>305</v>
      </c>
      <c r="C97" s="6">
        <v>-33263.645016000002</v>
      </c>
      <c r="D97" s="34"/>
      <c r="E97" s="6">
        <f t="shared" si="4"/>
        <v>-33263.645016000002</v>
      </c>
      <c r="F97" s="14"/>
      <c r="G97" s="6">
        <v>-35774.948993999897</v>
      </c>
      <c r="H97" s="34"/>
      <c r="I97" s="6">
        <f t="shared" si="6"/>
        <v>-35774.948993999897</v>
      </c>
      <c r="J97" s="14"/>
      <c r="K97" s="141">
        <v>-37712.466999999902</v>
      </c>
      <c r="L97" s="142"/>
      <c r="M97" s="141">
        <f>SUM(K97:L97)</f>
        <v>-37712.466999999902</v>
      </c>
      <c r="N97" s="141"/>
      <c r="O97" s="141">
        <v>-37712.466999999902</v>
      </c>
      <c r="P97" s="142"/>
      <c r="Q97" s="141">
        <f>SUM(O97:P97)</f>
        <v>-37712.466999999902</v>
      </c>
      <c r="R97" s="14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</row>
    <row r="98" spans="1:38" s="15" customFormat="1">
      <c r="A98" t="s">
        <v>292</v>
      </c>
      <c r="B98" t="s">
        <v>306</v>
      </c>
      <c r="C98" s="6">
        <v>18625</v>
      </c>
      <c r="D98" s="34"/>
      <c r="E98" s="6">
        <f t="shared" si="4"/>
        <v>18625</v>
      </c>
      <c r="F98" s="14"/>
      <c r="G98" s="6">
        <v>20746</v>
      </c>
      <c r="H98" s="34"/>
      <c r="I98" s="6">
        <f t="shared" si="6"/>
        <v>20746</v>
      </c>
      <c r="J98" s="14"/>
      <c r="K98" s="141">
        <v>22679</v>
      </c>
      <c r="L98" s="142"/>
      <c r="M98" s="141">
        <f>SUM(K98:L98)</f>
        <v>22679</v>
      </c>
      <c r="N98" s="141"/>
      <c r="O98" s="141">
        <v>22679</v>
      </c>
      <c r="P98" s="142"/>
      <c r="Q98" s="141">
        <f>SUM(O98:P98)</f>
        <v>22679</v>
      </c>
      <c r="R98" s="14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</row>
    <row r="99" spans="1:38" s="12" customFormat="1">
      <c r="A99" s="12" t="s">
        <v>35</v>
      </c>
      <c r="B99" s="13" t="s">
        <v>8</v>
      </c>
      <c r="C99" s="17">
        <v>425872.57981511508</v>
      </c>
      <c r="D99" s="33">
        <f>SUM(D62:D98)</f>
        <v>20</v>
      </c>
      <c r="E99" s="56">
        <f>SUM(E62:E98)</f>
        <v>425892.57981511508</v>
      </c>
      <c r="F99" s="17"/>
      <c r="G99" s="17">
        <v>471018.40971581504</v>
      </c>
      <c r="H99" s="33">
        <f>SUM(H62:H98)</f>
        <v>0</v>
      </c>
      <c r="I99" s="56">
        <f>SUM(I62:I98)</f>
        <v>471018.40971581504</v>
      </c>
      <c r="J99" s="17"/>
      <c r="K99" s="143">
        <v>409029.78042688931</v>
      </c>
      <c r="L99" s="144">
        <f>SUM(L62:L98)</f>
        <v>0</v>
      </c>
      <c r="M99" s="143">
        <f>SUM(M62:M98)</f>
        <v>409029.78042688931</v>
      </c>
      <c r="N99" s="143"/>
      <c r="O99" s="143">
        <v>407644.68370188941</v>
      </c>
      <c r="P99" s="144">
        <f>SUM(P62:P98)</f>
        <v>0</v>
      </c>
      <c r="Q99" s="143">
        <f>SUM(Q62:Q98)</f>
        <v>407644.68370188941</v>
      </c>
      <c r="R99" s="17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</row>
    <row r="100" spans="1:38" s="15" customFormat="1">
      <c r="A100" t="s">
        <v>171</v>
      </c>
      <c r="B100" t="s">
        <v>172</v>
      </c>
      <c r="C100" s="6">
        <v>47655.111969999904</v>
      </c>
      <c r="D100" s="34"/>
      <c r="E100" s="6">
        <f t="shared" si="4"/>
        <v>47655.111969999904</v>
      </c>
      <c r="F100" s="14"/>
      <c r="G100" s="6">
        <v>49869.963219999903</v>
      </c>
      <c r="H100" s="34"/>
      <c r="I100" s="6">
        <f t="shared" si="6"/>
        <v>49869.963219999903</v>
      </c>
      <c r="J100" s="14"/>
      <c r="K100" s="141">
        <v>3992.9274537663</v>
      </c>
      <c r="L100" s="142"/>
      <c r="M100" s="141">
        <f t="shared" si="7"/>
        <v>3992.9274537663</v>
      </c>
      <c r="N100" s="141"/>
      <c r="O100" s="141">
        <v>3992.9274537663</v>
      </c>
      <c r="P100" s="142"/>
      <c r="Q100" s="141">
        <f t="shared" ref="Q100:Q139" si="8">SUM(O100:P100)</f>
        <v>3992.9274537663</v>
      </c>
      <c r="R100" s="14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</row>
    <row r="101" spans="1:38" s="15" customFormat="1">
      <c r="A101" t="s">
        <v>173</v>
      </c>
      <c r="B101" t="s">
        <v>174</v>
      </c>
      <c r="C101" s="6">
        <v>1211.25</v>
      </c>
      <c r="D101" s="34"/>
      <c r="E101" s="6">
        <f t="shared" si="4"/>
        <v>1211.25</v>
      </c>
      <c r="F101" s="14"/>
      <c r="G101" s="6">
        <v>1211.25</v>
      </c>
      <c r="H101" s="34"/>
      <c r="I101" s="6">
        <f t="shared" si="6"/>
        <v>1211.25</v>
      </c>
      <c r="J101" s="14"/>
      <c r="K101" s="141">
        <v>0</v>
      </c>
      <c r="L101" s="142"/>
      <c r="M101" s="141">
        <f t="shared" si="7"/>
        <v>0</v>
      </c>
      <c r="N101" s="141"/>
      <c r="O101" s="141">
        <v>0</v>
      </c>
      <c r="P101" s="142"/>
      <c r="Q101" s="141">
        <f t="shared" si="8"/>
        <v>0</v>
      </c>
      <c r="R101" s="14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</row>
    <row r="102" spans="1:38" s="15" customFormat="1">
      <c r="A102" t="s">
        <v>175</v>
      </c>
      <c r="B102" t="s">
        <v>176</v>
      </c>
      <c r="C102" s="6">
        <v>-3992</v>
      </c>
      <c r="D102" s="34"/>
      <c r="E102" s="6">
        <f t="shared" si="4"/>
        <v>-3992</v>
      </c>
      <c r="F102" s="14"/>
      <c r="G102" s="6">
        <v>-6493</v>
      </c>
      <c r="H102" s="34"/>
      <c r="I102" s="6">
        <f t="shared" si="6"/>
        <v>-6493</v>
      </c>
      <c r="J102" s="14"/>
      <c r="K102" s="141">
        <v>0</v>
      </c>
      <c r="L102" s="142"/>
      <c r="M102" s="141">
        <f t="shared" si="7"/>
        <v>0</v>
      </c>
      <c r="N102" s="141"/>
      <c r="O102" s="141">
        <v>0</v>
      </c>
      <c r="P102" s="142"/>
      <c r="Q102" s="141">
        <f t="shared" si="8"/>
        <v>0</v>
      </c>
      <c r="R102" s="14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</row>
    <row r="103" spans="1:38" s="15" customFormat="1">
      <c r="A103" t="s">
        <v>177</v>
      </c>
      <c r="B103" t="s">
        <v>178</v>
      </c>
      <c r="C103" s="6">
        <v>0</v>
      </c>
      <c r="D103" s="34"/>
      <c r="E103" s="6">
        <f t="shared" si="4"/>
        <v>0</v>
      </c>
      <c r="F103" s="14"/>
      <c r="G103" s="6">
        <v>0</v>
      </c>
      <c r="H103" s="34"/>
      <c r="I103" s="6">
        <f t="shared" si="6"/>
        <v>0</v>
      </c>
      <c r="J103" s="14"/>
      <c r="K103" s="141">
        <v>0</v>
      </c>
      <c r="L103" s="142"/>
      <c r="M103" s="141">
        <f t="shared" si="7"/>
        <v>0</v>
      </c>
      <c r="N103" s="141"/>
      <c r="O103" s="141">
        <v>0</v>
      </c>
      <c r="P103" s="142"/>
      <c r="Q103" s="141">
        <f t="shared" si="8"/>
        <v>0</v>
      </c>
      <c r="R103" s="14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</row>
    <row r="104" spans="1:38" s="15" customFormat="1">
      <c r="A104" t="s">
        <v>179</v>
      </c>
      <c r="B104" t="s">
        <v>180</v>
      </c>
      <c r="C104" s="6">
        <v>-3</v>
      </c>
      <c r="D104" s="34"/>
      <c r="E104" s="6">
        <f t="shared" si="4"/>
        <v>-3</v>
      </c>
      <c r="F104" s="14"/>
      <c r="G104" s="6">
        <v>-3</v>
      </c>
      <c r="H104" s="34"/>
      <c r="I104" s="6">
        <f t="shared" si="6"/>
        <v>-3</v>
      </c>
      <c r="J104" s="14"/>
      <c r="K104" s="141">
        <v>-3</v>
      </c>
      <c r="L104" s="142"/>
      <c r="M104" s="141">
        <f t="shared" si="7"/>
        <v>-3</v>
      </c>
      <c r="N104" s="141"/>
      <c r="O104" s="141">
        <v>-3</v>
      </c>
      <c r="P104" s="142"/>
      <c r="Q104" s="141">
        <f t="shared" si="8"/>
        <v>-3</v>
      </c>
      <c r="R104" s="1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</row>
    <row r="105" spans="1:38" s="15" customFormat="1">
      <c r="A105" t="s">
        <v>181</v>
      </c>
      <c r="B105" t="s">
        <v>182</v>
      </c>
      <c r="C105" s="6">
        <v>0</v>
      </c>
      <c r="D105" s="34"/>
      <c r="E105" s="6">
        <f t="shared" si="4"/>
        <v>0</v>
      </c>
      <c r="F105" s="14"/>
      <c r="G105" s="6">
        <v>0</v>
      </c>
      <c r="H105" s="34"/>
      <c r="I105" s="6">
        <f t="shared" si="6"/>
        <v>0</v>
      </c>
      <c r="J105" s="14"/>
      <c r="K105" s="141">
        <v>0</v>
      </c>
      <c r="L105" s="142"/>
      <c r="M105" s="141">
        <f t="shared" si="7"/>
        <v>0</v>
      </c>
      <c r="N105" s="141"/>
      <c r="O105" s="141">
        <v>3</v>
      </c>
      <c r="P105" s="142"/>
      <c r="Q105" s="141">
        <f t="shared" si="8"/>
        <v>3</v>
      </c>
      <c r="R105" s="14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</row>
    <row r="106" spans="1:38" s="15" customFormat="1">
      <c r="A106" t="s">
        <v>183</v>
      </c>
      <c r="B106" t="s">
        <v>184</v>
      </c>
      <c r="C106" s="6">
        <v>308983.49477599899</v>
      </c>
      <c r="D106" s="34"/>
      <c r="E106" s="6">
        <f t="shared" si="4"/>
        <v>308983.49477599899</v>
      </c>
      <c r="F106" s="14"/>
      <c r="G106" s="6">
        <v>18547.724969999901</v>
      </c>
      <c r="H106" s="34"/>
      <c r="I106" s="6">
        <f t="shared" si="6"/>
        <v>18547.724969999901</v>
      </c>
      <c r="J106" s="14"/>
      <c r="K106" s="141">
        <v>42941.479480000002</v>
      </c>
      <c r="L106" s="142"/>
      <c r="M106" s="141">
        <f t="shared" si="7"/>
        <v>42941.479480000002</v>
      </c>
      <c r="N106" s="141"/>
      <c r="O106" s="141">
        <v>42941.479480000002</v>
      </c>
      <c r="P106" s="142"/>
      <c r="Q106" s="141">
        <f t="shared" si="8"/>
        <v>42941.479480000002</v>
      </c>
      <c r="R106" s="14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</row>
    <row r="107" spans="1:38" s="15" customFormat="1">
      <c r="A107" t="s">
        <v>185</v>
      </c>
      <c r="B107" t="s">
        <v>186</v>
      </c>
      <c r="C107" s="6">
        <v>-81685.169999999896</v>
      </c>
      <c r="D107" s="34"/>
      <c r="E107" s="6">
        <f t="shared" si="4"/>
        <v>-81685.169999999896</v>
      </c>
      <c r="F107" s="14"/>
      <c r="G107" s="6">
        <v>-10271.91</v>
      </c>
      <c r="H107" s="34"/>
      <c r="I107" s="6">
        <f t="shared" si="6"/>
        <v>-10271.91</v>
      </c>
      <c r="J107" s="14"/>
      <c r="K107" s="141">
        <v>-582</v>
      </c>
      <c r="L107" s="142"/>
      <c r="M107" s="141">
        <f t="shared" si="7"/>
        <v>-582</v>
      </c>
      <c r="N107" s="141"/>
      <c r="O107" s="141">
        <v>-12739.449479999899</v>
      </c>
      <c r="P107" s="142"/>
      <c r="Q107" s="141">
        <f t="shared" si="8"/>
        <v>-12739.449479999899</v>
      </c>
      <c r="R107" s="14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</row>
    <row r="108" spans="1:38" s="15" customFormat="1">
      <c r="A108" t="s">
        <v>187</v>
      </c>
      <c r="B108" t="s">
        <v>188</v>
      </c>
      <c r="C108" s="6">
        <v>-227615.454776</v>
      </c>
      <c r="D108" s="34"/>
      <c r="E108" s="6">
        <f t="shared" si="4"/>
        <v>-227615.454776</v>
      </c>
      <c r="F108" s="14"/>
      <c r="G108" s="6">
        <v>-10771.07777</v>
      </c>
      <c r="H108" s="34"/>
      <c r="I108" s="6">
        <f t="shared" si="6"/>
        <v>-10771.07777</v>
      </c>
      <c r="J108" s="14"/>
      <c r="K108" s="141">
        <v>-14347.449479999899</v>
      </c>
      <c r="L108" s="142"/>
      <c r="M108" s="141">
        <f t="shared" si="7"/>
        <v>-14347.449479999899</v>
      </c>
      <c r="N108" s="141"/>
      <c r="O108" s="141">
        <v>0</v>
      </c>
      <c r="P108" s="142"/>
      <c r="Q108" s="141">
        <f t="shared" si="8"/>
        <v>0</v>
      </c>
      <c r="R108" s="14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</row>
    <row r="109" spans="1:38" s="15" customFormat="1">
      <c r="A109" t="s">
        <v>189</v>
      </c>
      <c r="B109" t="s">
        <v>190</v>
      </c>
      <c r="C109" s="6">
        <v>0</v>
      </c>
      <c r="D109" s="34"/>
      <c r="E109" s="6">
        <f t="shared" si="4"/>
        <v>0</v>
      </c>
      <c r="F109" s="14"/>
      <c r="G109" s="6">
        <v>0</v>
      </c>
      <c r="H109" s="34"/>
      <c r="I109" s="6">
        <f t="shared" si="6"/>
        <v>0</v>
      </c>
      <c r="J109" s="14"/>
      <c r="K109" s="141">
        <v>1135.6712</v>
      </c>
      <c r="L109" s="142"/>
      <c r="M109" s="141">
        <f t="shared" si="7"/>
        <v>1135.6712</v>
      </c>
      <c r="N109" s="141"/>
      <c r="O109" s="141">
        <v>0</v>
      </c>
      <c r="P109" s="142"/>
      <c r="Q109" s="141">
        <f t="shared" si="8"/>
        <v>0</v>
      </c>
      <c r="R109" s="14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</row>
    <row r="110" spans="1:38" s="15" customFormat="1">
      <c r="A110" t="s">
        <v>191</v>
      </c>
      <c r="B110" t="s">
        <v>192</v>
      </c>
      <c r="C110" s="6">
        <v>0</v>
      </c>
      <c r="D110" s="34"/>
      <c r="E110" s="6">
        <f t="shared" si="4"/>
        <v>0</v>
      </c>
      <c r="F110" s="14"/>
      <c r="G110" s="6">
        <v>0</v>
      </c>
      <c r="H110" s="34"/>
      <c r="I110" s="6">
        <f t="shared" si="6"/>
        <v>0</v>
      </c>
      <c r="J110" s="14"/>
      <c r="K110" s="141">
        <v>62323.711569999898</v>
      </c>
      <c r="L110" s="142"/>
      <c r="M110" s="141">
        <f t="shared" si="7"/>
        <v>62323.711569999898</v>
      </c>
      <c r="N110" s="141"/>
      <c r="O110" s="141">
        <v>61956.631569999998</v>
      </c>
      <c r="P110" s="142"/>
      <c r="Q110" s="141">
        <f t="shared" si="8"/>
        <v>61956.631569999998</v>
      </c>
      <c r="R110" s="14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</row>
    <row r="111" spans="1:38" s="15" customFormat="1">
      <c r="A111" t="s">
        <v>193</v>
      </c>
      <c r="B111" t="s">
        <v>194</v>
      </c>
      <c r="C111" s="6">
        <v>2427</v>
      </c>
      <c r="D111" s="34"/>
      <c r="E111" s="6">
        <f t="shared" si="4"/>
        <v>2427</v>
      </c>
      <c r="F111" s="14"/>
      <c r="G111" s="6">
        <v>2427</v>
      </c>
      <c r="H111" s="34"/>
      <c r="I111" s="6">
        <f t="shared" si="6"/>
        <v>2427</v>
      </c>
      <c r="J111" s="14"/>
      <c r="K111" s="141">
        <v>2427</v>
      </c>
      <c r="L111" s="142"/>
      <c r="M111" s="141">
        <f t="shared" si="7"/>
        <v>2427</v>
      </c>
      <c r="N111" s="141"/>
      <c r="O111" s="141">
        <v>-9021</v>
      </c>
      <c r="P111" s="142"/>
      <c r="Q111" s="141">
        <f t="shared" si="8"/>
        <v>-9021</v>
      </c>
      <c r="R111" s="14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</row>
    <row r="112" spans="1:38" s="15" customFormat="1">
      <c r="A112" t="s">
        <v>195</v>
      </c>
      <c r="B112" t="s">
        <v>196</v>
      </c>
      <c r="C112" s="6">
        <v>-2427</v>
      </c>
      <c r="D112" s="34"/>
      <c r="E112" s="6">
        <f t="shared" si="4"/>
        <v>-2427</v>
      </c>
      <c r="F112" s="14"/>
      <c r="G112" s="6">
        <v>-2427</v>
      </c>
      <c r="H112" s="34"/>
      <c r="I112" s="6">
        <f t="shared" si="6"/>
        <v>-2427</v>
      </c>
      <c r="J112" s="14"/>
      <c r="K112" s="141">
        <v>-11448</v>
      </c>
      <c r="L112" s="142"/>
      <c r="M112" s="141">
        <f t="shared" si="7"/>
        <v>-11448</v>
      </c>
      <c r="N112" s="141"/>
      <c r="O112" s="141">
        <v>0</v>
      </c>
      <c r="P112" s="142"/>
      <c r="Q112" s="141">
        <f t="shared" si="8"/>
        <v>0</v>
      </c>
      <c r="R112" s="14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</row>
    <row r="113" spans="1:18">
      <c r="A113" t="s">
        <v>197</v>
      </c>
      <c r="B113" t="s">
        <v>198</v>
      </c>
      <c r="C113" s="6">
        <v>0</v>
      </c>
      <c r="D113" s="32"/>
      <c r="E113" s="6">
        <f t="shared" ref="E113:E154" si="9">SUM(C113:D113)</f>
        <v>0</v>
      </c>
      <c r="F113" s="6"/>
      <c r="G113" s="6">
        <v>0</v>
      </c>
      <c r="H113" s="32"/>
      <c r="I113" s="6">
        <f t="shared" si="6"/>
        <v>0</v>
      </c>
      <c r="J113" s="6"/>
      <c r="K113" s="141">
        <v>0</v>
      </c>
      <c r="L113" s="142"/>
      <c r="M113" s="141">
        <f t="shared" si="7"/>
        <v>0</v>
      </c>
      <c r="N113" s="141"/>
      <c r="O113" s="141">
        <v>0</v>
      </c>
      <c r="P113" s="142"/>
      <c r="Q113" s="141">
        <f t="shared" si="8"/>
        <v>0</v>
      </c>
      <c r="R113" s="6"/>
    </row>
    <row r="114" spans="1:18">
      <c r="A114" t="s">
        <v>199</v>
      </c>
      <c r="B114" t="s">
        <v>200</v>
      </c>
      <c r="C114" s="6">
        <v>2279</v>
      </c>
      <c r="D114" s="32"/>
      <c r="E114" s="6">
        <f t="shared" si="9"/>
        <v>2279</v>
      </c>
      <c r="F114" s="6"/>
      <c r="G114" s="6">
        <v>0</v>
      </c>
      <c r="H114" s="32"/>
      <c r="I114" s="6">
        <f t="shared" si="6"/>
        <v>0</v>
      </c>
      <c r="J114" s="6"/>
      <c r="K114" s="141">
        <v>2681.8864800000001</v>
      </c>
      <c r="L114" s="142"/>
      <c r="M114" s="141">
        <f t="shared" si="7"/>
        <v>2681.8864800000001</v>
      </c>
      <c r="N114" s="141"/>
      <c r="O114" s="141">
        <v>2681.8864800000001</v>
      </c>
      <c r="P114" s="142"/>
      <c r="Q114" s="141">
        <f t="shared" si="8"/>
        <v>2681.8864800000001</v>
      </c>
      <c r="R114" s="6"/>
    </row>
    <row r="115" spans="1:18">
      <c r="A115" t="s">
        <v>201</v>
      </c>
      <c r="B115" t="s">
        <v>202</v>
      </c>
      <c r="C115" s="6">
        <v>0</v>
      </c>
      <c r="D115" s="32"/>
      <c r="E115" s="6">
        <f t="shared" si="9"/>
        <v>0</v>
      </c>
      <c r="F115" s="6"/>
      <c r="G115" s="6">
        <v>0</v>
      </c>
      <c r="H115" s="32"/>
      <c r="I115" s="6">
        <f t="shared" si="6"/>
        <v>0</v>
      </c>
      <c r="J115" s="6"/>
      <c r="K115" s="141">
        <v>0</v>
      </c>
      <c r="L115" s="142"/>
      <c r="M115" s="141">
        <f t="shared" si="7"/>
        <v>0</v>
      </c>
      <c r="N115" s="141"/>
      <c r="O115" s="141">
        <v>0</v>
      </c>
      <c r="P115" s="142"/>
      <c r="Q115" s="141">
        <f t="shared" si="8"/>
        <v>0</v>
      </c>
      <c r="R115" s="6"/>
    </row>
    <row r="116" spans="1:18">
      <c r="A116" t="s">
        <v>203</v>
      </c>
      <c r="B116" t="s">
        <v>204</v>
      </c>
      <c r="C116" s="6">
        <v>0</v>
      </c>
      <c r="D116" s="32"/>
      <c r="E116" s="6">
        <f t="shared" si="9"/>
        <v>0</v>
      </c>
      <c r="F116" s="6"/>
      <c r="G116" s="6">
        <v>0</v>
      </c>
      <c r="H116" s="32"/>
      <c r="I116" s="6">
        <f t="shared" si="6"/>
        <v>0</v>
      </c>
      <c r="J116" s="6"/>
      <c r="K116" s="141">
        <v>0</v>
      </c>
      <c r="L116" s="142"/>
      <c r="M116" s="141">
        <f t="shared" si="7"/>
        <v>0</v>
      </c>
      <c r="N116" s="141"/>
      <c r="O116" s="141">
        <v>0</v>
      </c>
      <c r="P116" s="142"/>
      <c r="Q116" s="141">
        <f t="shared" si="8"/>
        <v>0</v>
      </c>
      <c r="R116" s="6"/>
    </row>
    <row r="117" spans="1:18">
      <c r="A117" t="s">
        <v>205</v>
      </c>
      <c r="B117" t="s">
        <v>206</v>
      </c>
      <c r="C117" s="6">
        <v>0</v>
      </c>
      <c r="D117" s="32"/>
      <c r="E117" s="6">
        <f t="shared" si="9"/>
        <v>0</v>
      </c>
      <c r="F117" s="6"/>
      <c r="G117" s="6">
        <v>0</v>
      </c>
      <c r="H117" s="32"/>
      <c r="I117" s="6">
        <f t="shared" si="6"/>
        <v>0</v>
      </c>
      <c r="J117" s="6"/>
      <c r="K117" s="141">
        <v>0</v>
      </c>
      <c r="L117" s="142"/>
      <c r="M117" s="141">
        <f t="shared" si="7"/>
        <v>0</v>
      </c>
      <c r="N117" s="141"/>
      <c r="O117" s="141">
        <v>0</v>
      </c>
      <c r="P117" s="142"/>
      <c r="Q117" s="141">
        <f t="shared" si="8"/>
        <v>0</v>
      </c>
      <c r="R117" s="6"/>
    </row>
    <row r="118" spans="1:18">
      <c r="A118" t="s">
        <v>207</v>
      </c>
      <c r="B118" t="s">
        <v>208</v>
      </c>
      <c r="C118" s="6">
        <v>0</v>
      </c>
      <c r="D118" s="32"/>
      <c r="E118" s="6">
        <f t="shared" si="9"/>
        <v>0</v>
      </c>
      <c r="F118" s="6"/>
      <c r="G118" s="6">
        <v>0</v>
      </c>
      <c r="H118" s="32"/>
      <c r="I118" s="6">
        <f t="shared" si="6"/>
        <v>0</v>
      </c>
      <c r="J118" s="6"/>
      <c r="K118" s="141">
        <v>0</v>
      </c>
      <c r="L118" s="142"/>
      <c r="M118" s="141">
        <f t="shared" si="7"/>
        <v>0</v>
      </c>
      <c r="N118" s="141"/>
      <c r="O118" s="141">
        <v>1135.6712</v>
      </c>
      <c r="P118" s="142"/>
      <c r="Q118" s="141">
        <f t="shared" si="8"/>
        <v>1135.6712</v>
      </c>
      <c r="R118" s="6"/>
    </row>
    <row r="119" spans="1:18">
      <c r="A119" t="s">
        <v>209</v>
      </c>
      <c r="B119" t="s">
        <v>210</v>
      </c>
      <c r="C119" s="6">
        <v>0</v>
      </c>
      <c r="D119" s="32"/>
      <c r="E119" s="6">
        <f t="shared" si="9"/>
        <v>0</v>
      </c>
      <c r="F119" s="6"/>
      <c r="G119" s="6">
        <v>0</v>
      </c>
      <c r="H119" s="32"/>
      <c r="I119" s="6">
        <f t="shared" si="6"/>
        <v>0</v>
      </c>
      <c r="J119" s="6"/>
      <c r="K119" s="141">
        <v>0</v>
      </c>
      <c r="L119" s="142"/>
      <c r="M119" s="141">
        <f t="shared" si="7"/>
        <v>0</v>
      </c>
      <c r="N119" s="141"/>
      <c r="O119" s="141">
        <v>0</v>
      </c>
      <c r="P119" s="142"/>
      <c r="Q119" s="141">
        <f t="shared" si="8"/>
        <v>0</v>
      </c>
      <c r="R119" s="6"/>
    </row>
    <row r="120" spans="1:18">
      <c r="A120" t="s">
        <v>211</v>
      </c>
      <c r="B120" t="s">
        <v>212</v>
      </c>
      <c r="C120" s="6">
        <v>23221.561249999901</v>
      </c>
      <c r="D120" s="32"/>
      <c r="E120" s="6">
        <f t="shared" si="9"/>
        <v>23221.561249999901</v>
      </c>
      <c r="F120" s="6"/>
      <c r="G120" s="6">
        <v>1778.308</v>
      </c>
      <c r="H120" s="32"/>
      <c r="I120" s="6">
        <f t="shared" si="6"/>
        <v>1778.308</v>
      </c>
      <c r="J120" s="6"/>
      <c r="K120" s="141">
        <v>525.37616000000003</v>
      </c>
      <c r="L120" s="142"/>
      <c r="M120" s="141">
        <f t="shared" si="7"/>
        <v>525.37616000000003</v>
      </c>
      <c r="N120" s="141"/>
      <c r="O120" s="141">
        <v>0</v>
      </c>
      <c r="P120" s="142"/>
      <c r="Q120" s="141">
        <f t="shared" si="8"/>
        <v>0</v>
      </c>
      <c r="R120" s="6"/>
    </row>
    <row r="121" spans="1:18">
      <c r="A121" t="s">
        <v>213</v>
      </c>
      <c r="B121" t="s">
        <v>214</v>
      </c>
      <c r="C121" s="6">
        <v>-188.19</v>
      </c>
      <c r="D121" s="32"/>
      <c r="E121" s="6">
        <f t="shared" si="9"/>
        <v>-188.19</v>
      </c>
      <c r="F121" s="6"/>
      <c r="G121" s="6">
        <v>-188.19</v>
      </c>
      <c r="H121" s="32"/>
      <c r="I121" s="6">
        <f t="shared" si="6"/>
        <v>-188.19</v>
      </c>
      <c r="J121" s="6"/>
      <c r="K121" s="141">
        <v>0</v>
      </c>
      <c r="L121" s="142"/>
      <c r="M121" s="141">
        <f t="shared" si="7"/>
        <v>0</v>
      </c>
      <c r="N121" s="141"/>
      <c r="O121" s="141">
        <v>0</v>
      </c>
      <c r="P121" s="142"/>
      <c r="Q121" s="141">
        <f t="shared" si="8"/>
        <v>0</v>
      </c>
      <c r="R121" s="6"/>
    </row>
    <row r="122" spans="1:18">
      <c r="A122" t="s">
        <v>215</v>
      </c>
      <c r="B122" t="s">
        <v>216</v>
      </c>
      <c r="C122" s="6">
        <v>0</v>
      </c>
      <c r="D122" s="32"/>
      <c r="E122" s="6">
        <f t="shared" si="9"/>
        <v>0</v>
      </c>
      <c r="F122" s="6"/>
      <c r="G122" s="6">
        <v>0</v>
      </c>
      <c r="H122" s="32"/>
      <c r="I122" s="6">
        <f t="shared" si="6"/>
        <v>0</v>
      </c>
      <c r="J122" s="6"/>
      <c r="K122" s="141">
        <v>-186.02796799999899</v>
      </c>
      <c r="L122" s="142"/>
      <c r="M122" s="141">
        <f t="shared" si="7"/>
        <v>-186.02796799999899</v>
      </c>
      <c r="N122" s="141"/>
      <c r="O122" s="141">
        <v>0</v>
      </c>
      <c r="P122" s="142"/>
      <c r="Q122" s="141">
        <f t="shared" si="8"/>
        <v>0</v>
      </c>
      <c r="R122" s="6"/>
    </row>
    <row r="123" spans="1:18">
      <c r="A123" t="s">
        <v>217</v>
      </c>
      <c r="B123" t="s">
        <v>218</v>
      </c>
      <c r="C123" s="6">
        <v>0</v>
      </c>
      <c r="D123" s="32"/>
      <c r="E123" s="6">
        <f t="shared" si="9"/>
        <v>0</v>
      </c>
      <c r="F123" s="6"/>
      <c r="G123" s="6">
        <v>0</v>
      </c>
      <c r="H123" s="32"/>
      <c r="I123" s="6">
        <f t="shared" si="6"/>
        <v>0</v>
      </c>
      <c r="J123" s="6"/>
      <c r="K123" s="141">
        <v>1</v>
      </c>
      <c r="L123" s="142"/>
      <c r="M123" s="141">
        <f t="shared" si="7"/>
        <v>1</v>
      </c>
      <c r="N123" s="141"/>
      <c r="O123" s="141">
        <v>1</v>
      </c>
      <c r="P123" s="142"/>
      <c r="Q123" s="141">
        <f t="shared" si="8"/>
        <v>1</v>
      </c>
      <c r="R123" s="6"/>
    </row>
    <row r="124" spans="1:18">
      <c r="A124" t="s">
        <v>219</v>
      </c>
      <c r="B124" t="s">
        <v>220</v>
      </c>
      <c r="C124" s="6">
        <v>0</v>
      </c>
      <c r="D124" s="32"/>
      <c r="E124" s="6">
        <f t="shared" si="9"/>
        <v>0</v>
      </c>
      <c r="F124" s="6"/>
      <c r="G124" s="6">
        <v>0</v>
      </c>
      <c r="H124" s="32"/>
      <c r="I124" s="6">
        <f t="shared" si="6"/>
        <v>0</v>
      </c>
      <c r="J124" s="6"/>
      <c r="K124" s="141">
        <v>0</v>
      </c>
      <c r="L124" s="142"/>
      <c r="M124" s="141">
        <f t="shared" si="7"/>
        <v>0</v>
      </c>
      <c r="N124" s="141"/>
      <c r="O124" s="141">
        <v>0</v>
      </c>
      <c r="P124" s="142"/>
      <c r="Q124" s="141">
        <f t="shared" si="8"/>
        <v>0</v>
      </c>
      <c r="R124" s="6"/>
    </row>
    <row r="125" spans="1:18">
      <c r="A125" t="s">
        <v>221</v>
      </c>
      <c r="B125" t="s">
        <v>222</v>
      </c>
      <c r="C125" s="6">
        <v>0</v>
      </c>
      <c r="D125" s="32"/>
      <c r="E125" s="6">
        <f t="shared" si="9"/>
        <v>0</v>
      </c>
      <c r="F125" s="6"/>
      <c r="G125" s="6">
        <v>0</v>
      </c>
      <c r="H125" s="32"/>
      <c r="I125" s="6">
        <f t="shared" si="6"/>
        <v>0</v>
      </c>
      <c r="J125" s="6"/>
      <c r="K125" s="141">
        <v>84.941180000000003</v>
      </c>
      <c r="L125" s="142"/>
      <c r="M125" s="141">
        <f t="shared" si="7"/>
        <v>84.941180000000003</v>
      </c>
      <c r="N125" s="141"/>
      <c r="O125" s="141">
        <v>83.9411799999979</v>
      </c>
      <c r="P125" s="142"/>
      <c r="Q125" s="141">
        <f t="shared" si="8"/>
        <v>83.9411799999979</v>
      </c>
      <c r="R125" s="6"/>
    </row>
    <row r="126" spans="1:18">
      <c r="A126" t="s">
        <v>223</v>
      </c>
      <c r="B126" t="s">
        <v>224</v>
      </c>
      <c r="C126" s="6">
        <v>4.95787049546478E-2</v>
      </c>
      <c r="D126" s="32"/>
      <c r="E126" s="6">
        <f t="shared" si="9"/>
        <v>4.95787049546478E-2</v>
      </c>
      <c r="F126" s="6"/>
      <c r="G126" s="6">
        <v>4.95787049546478E-2</v>
      </c>
      <c r="H126" s="32"/>
      <c r="I126" s="6">
        <f t="shared" si="6"/>
        <v>4.95787049546478E-2</v>
      </c>
      <c r="J126" s="6"/>
      <c r="K126" s="141">
        <v>-67.157441295045302</v>
      </c>
      <c r="L126" s="142"/>
      <c r="M126" s="141">
        <f t="shared" si="7"/>
        <v>-67.157441295045302</v>
      </c>
      <c r="N126" s="141"/>
      <c r="O126" s="141">
        <v>-68.157441295046695</v>
      </c>
      <c r="P126" s="142"/>
      <c r="Q126" s="141">
        <f t="shared" si="8"/>
        <v>-68.157441295046695</v>
      </c>
      <c r="R126" s="6"/>
    </row>
    <row r="127" spans="1:18">
      <c r="A127" t="s">
        <v>225</v>
      </c>
      <c r="B127" t="s">
        <v>226</v>
      </c>
      <c r="C127" s="6">
        <v>0</v>
      </c>
      <c r="D127" s="32"/>
      <c r="E127" s="6">
        <f t="shared" si="9"/>
        <v>0</v>
      </c>
      <c r="F127" s="6"/>
      <c r="G127" s="6">
        <v>0</v>
      </c>
      <c r="H127" s="32"/>
      <c r="I127" s="6">
        <f t="shared" si="6"/>
        <v>0</v>
      </c>
      <c r="J127" s="6"/>
      <c r="K127" s="141">
        <v>0</v>
      </c>
      <c r="L127" s="142"/>
      <c r="M127" s="141">
        <f t="shared" si="7"/>
        <v>0</v>
      </c>
      <c r="N127" s="141"/>
      <c r="O127" s="141">
        <v>0</v>
      </c>
      <c r="P127" s="142"/>
      <c r="Q127" s="141">
        <f t="shared" si="8"/>
        <v>0</v>
      </c>
      <c r="R127" s="6"/>
    </row>
    <row r="128" spans="1:18">
      <c r="A128" t="s">
        <v>227</v>
      </c>
      <c r="B128" t="s">
        <v>228</v>
      </c>
      <c r="C128" s="6">
        <v>0</v>
      </c>
      <c r="D128" s="32"/>
      <c r="E128" s="6">
        <f t="shared" si="9"/>
        <v>0</v>
      </c>
      <c r="F128" s="6"/>
      <c r="G128" s="6">
        <v>0</v>
      </c>
      <c r="H128" s="32"/>
      <c r="I128" s="6">
        <f t="shared" si="6"/>
        <v>0</v>
      </c>
      <c r="J128" s="6"/>
      <c r="K128" s="141">
        <v>0</v>
      </c>
      <c r="L128" s="142"/>
      <c r="M128" s="141">
        <f t="shared" si="7"/>
        <v>0</v>
      </c>
      <c r="N128" s="141"/>
      <c r="O128" s="141">
        <v>0</v>
      </c>
      <c r="P128" s="142"/>
      <c r="Q128" s="141">
        <f t="shared" si="8"/>
        <v>0</v>
      </c>
      <c r="R128" s="6"/>
    </row>
    <row r="129" spans="1:38">
      <c r="A129" s="11" t="s">
        <v>229</v>
      </c>
      <c r="B129" s="11" t="s">
        <v>230</v>
      </c>
      <c r="C129" s="6">
        <v>55803.955377999897</v>
      </c>
      <c r="D129" s="32"/>
      <c r="E129" s="6">
        <f t="shared" si="9"/>
        <v>55803.955377999897</v>
      </c>
      <c r="F129" s="6"/>
      <c r="G129" s="6">
        <v>15193.105301</v>
      </c>
      <c r="H129" s="32"/>
      <c r="I129" s="6">
        <f t="shared" si="6"/>
        <v>15193.105301</v>
      </c>
      <c r="J129" s="6"/>
      <c r="K129" s="141">
        <v>18392.1439079999</v>
      </c>
      <c r="L129" s="142"/>
      <c r="M129" s="141">
        <f t="shared" si="7"/>
        <v>18392.1439079999</v>
      </c>
      <c r="N129" s="141"/>
      <c r="O129" s="141">
        <v>18392.143907999998</v>
      </c>
      <c r="P129" s="142"/>
      <c r="Q129" s="141">
        <f t="shared" si="8"/>
        <v>18392.143907999998</v>
      </c>
      <c r="R129" s="6"/>
    </row>
    <row r="130" spans="1:38">
      <c r="A130" s="11" t="s">
        <v>231</v>
      </c>
      <c r="B130" s="11" t="s">
        <v>232</v>
      </c>
      <c r="C130" s="6">
        <v>-3180.9553780000001</v>
      </c>
      <c r="D130" s="32"/>
      <c r="E130" s="6">
        <f t="shared" si="9"/>
        <v>-3180.9553780000001</v>
      </c>
      <c r="F130" s="6"/>
      <c r="G130" s="6">
        <v>-7275.1053009999896</v>
      </c>
      <c r="H130" s="32"/>
      <c r="I130" s="6">
        <f t="shared" si="6"/>
        <v>-7275.1053009999896</v>
      </c>
      <c r="J130" s="6"/>
      <c r="K130" s="141">
        <v>-5748.0893880000003</v>
      </c>
      <c r="L130" s="142"/>
      <c r="M130" s="141">
        <f t="shared" si="7"/>
        <v>-5748.0893880000003</v>
      </c>
      <c r="N130" s="141"/>
      <c r="O130" s="141">
        <v>-5748.0893880000003</v>
      </c>
      <c r="P130" s="142"/>
      <c r="Q130" s="141">
        <f t="shared" si="8"/>
        <v>-5748.0893880000003</v>
      </c>
      <c r="R130" s="6"/>
    </row>
    <row r="131" spans="1:38">
      <c r="A131" s="11" t="s">
        <v>233</v>
      </c>
      <c r="B131" s="11" t="s">
        <v>234</v>
      </c>
      <c r="C131" s="6">
        <v>3869</v>
      </c>
      <c r="D131" s="32"/>
      <c r="E131" s="6">
        <f t="shared" si="9"/>
        <v>3869</v>
      </c>
      <c r="F131" s="6"/>
      <c r="G131" s="6">
        <v>0</v>
      </c>
      <c r="H131" s="32"/>
      <c r="I131" s="6">
        <f t="shared" si="6"/>
        <v>0</v>
      </c>
      <c r="J131" s="6"/>
      <c r="K131" s="141">
        <v>0</v>
      </c>
      <c r="L131" s="142"/>
      <c r="M131" s="141">
        <f t="shared" si="7"/>
        <v>0</v>
      </c>
      <c r="N131" s="141"/>
      <c r="O131" s="141">
        <v>0</v>
      </c>
      <c r="P131" s="142"/>
      <c r="Q131" s="141">
        <f t="shared" si="8"/>
        <v>0</v>
      </c>
      <c r="R131" s="6"/>
    </row>
    <row r="132" spans="1:38">
      <c r="A132" s="11" t="s">
        <v>235</v>
      </c>
      <c r="B132" s="11" t="s">
        <v>236</v>
      </c>
      <c r="C132" s="6">
        <v>0</v>
      </c>
      <c r="D132" s="34">
        <v>10</v>
      </c>
      <c r="E132" s="6">
        <f t="shared" si="9"/>
        <v>10</v>
      </c>
      <c r="F132" s="6"/>
      <c r="G132" s="6">
        <v>0</v>
      </c>
      <c r="H132" s="32"/>
      <c r="I132" s="6">
        <f t="shared" si="6"/>
        <v>0</v>
      </c>
      <c r="J132" s="6"/>
      <c r="K132" s="141">
        <v>0</v>
      </c>
      <c r="L132" s="142"/>
      <c r="M132" s="141">
        <f t="shared" si="7"/>
        <v>0</v>
      </c>
      <c r="N132" s="141"/>
      <c r="O132" s="141">
        <v>0</v>
      </c>
      <c r="P132" s="142"/>
      <c r="Q132" s="141">
        <f t="shared" si="8"/>
        <v>0</v>
      </c>
      <c r="R132" s="6"/>
    </row>
    <row r="133" spans="1:38">
      <c r="A133" s="11" t="s">
        <v>237</v>
      </c>
      <c r="B133" s="11" t="s">
        <v>238</v>
      </c>
      <c r="C133" s="6">
        <v>19503.558609743701</v>
      </c>
      <c r="D133" s="32"/>
      <c r="E133" s="6">
        <f t="shared" si="9"/>
        <v>19503.558609743701</v>
      </c>
      <c r="F133" s="6"/>
      <c r="G133" s="6">
        <v>18543.971754022401</v>
      </c>
      <c r="H133" s="32"/>
      <c r="I133" s="6">
        <f t="shared" si="6"/>
        <v>18543.971754022401</v>
      </c>
      <c r="J133" s="6"/>
      <c r="K133" s="141">
        <v>3430.9019189338001</v>
      </c>
      <c r="L133" s="142"/>
      <c r="M133" s="141">
        <f t="shared" si="7"/>
        <v>3430.9019189338001</v>
      </c>
      <c r="N133" s="141"/>
      <c r="O133" s="141">
        <v>3955.4548039338001</v>
      </c>
      <c r="P133" s="142"/>
      <c r="Q133" s="141">
        <f t="shared" si="8"/>
        <v>3955.4548039338001</v>
      </c>
      <c r="R133" s="6"/>
    </row>
    <row r="134" spans="1:38">
      <c r="A134" s="11" t="s">
        <v>239</v>
      </c>
      <c r="B134" s="11" t="s">
        <v>240</v>
      </c>
      <c r="C134" s="6">
        <v>-465.8</v>
      </c>
      <c r="D134" s="32"/>
      <c r="E134" s="6">
        <f t="shared" si="9"/>
        <v>-465.8</v>
      </c>
      <c r="F134" s="6"/>
      <c r="G134" s="6">
        <v>-465.8</v>
      </c>
      <c r="H134" s="32"/>
      <c r="I134" s="6">
        <f t="shared" si="6"/>
        <v>-465.8</v>
      </c>
      <c r="J134" s="6"/>
      <c r="K134" s="141">
        <v>-266.82799999999901</v>
      </c>
      <c r="L134" s="142"/>
      <c r="M134" s="141">
        <f t="shared" si="7"/>
        <v>-266.82799999999901</v>
      </c>
      <c r="N134" s="141"/>
      <c r="O134" s="141">
        <v>-452.855967999999</v>
      </c>
      <c r="P134" s="142"/>
      <c r="Q134" s="141">
        <f t="shared" si="8"/>
        <v>-452.855967999999</v>
      </c>
      <c r="R134" s="6"/>
    </row>
    <row r="135" spans="1:38">
      <c r="A135" s="11" t="s">
        <v>241</v>
      </c>
      <c r="B135" s="11" t="s">
        <v>242</v>
      </c>
      <c r="C135" s="6">
        <v>0</v>
      </c>
      <c r="D135" s="32"/>
      <c r="E135" s="6">
        <f t="shared" si="9"/>
        <v>0</v>
      </c>
      <c r="F135" s="6"/>
      <c r="G135" s="6">
        <v>0</v>
      </c>
      <c r="H135" s="32"/>
      <c r="I135" s="6">
        <f t="shared" si="6"/>
        <v>0</v>
      </c>
      <c r="J135" s="6"/>
      <c r="K135" s="141">
        <v>0</v>
      </c>
      <c r="L135" s="142"/>
      <c r="M135" s="141">
        <f t="shared" si="7"/>
        <v>0</v>
      </c>
      <c r="N135" s="141"/>
      <c r="O135" s="141">
        <v>0</v>
      </c>
      <c r="P135" s="142"/>
      <c r="Q135" s="141">
        <f t="shared" si="8"/>
        <v>0</v>
      </c>
      <c r="R135" s="6"/>
    </row>
    <row r="136" spans="1:38">
      <c r="A136" s="11" t="s">
        <v>243</v>
      </c>
      <c r="B136" s="11" t="s">
        <v>244</v>
      </c>
      <c r="C136" s="6">
        <v>0</v>
      </c>
      <c r="D136" s="32"/>
      <c r="E136" s="6">
        <f t="shared" si="9"/>
        <v>0</v>
      </c>
      <c r="F136" s="6"/>
      <c r="G136" s="6">
        <v>0</v>
      </c>
      <c r="H136" s="32"/>
      <c r="I136" s="6">
        <f t="shared" si="6"/>
        <v>0</v>
      </c>
      <c r="J136" s="6"/>
      <c r="K136" s="141">
        <v>0</v>
      </c>
      <c r="L136" s="142"/>
      <c r="M136" s="141">
        <f t="shared" si="7"/>
        <v>0</v>
      </c>
      <c r="N136" s="141"/>
      <c r="O136" s="141">
        <v>0</v>
      </c>
      <c r="P136" s="142"/>
      <c r="Q136" s="141">
        <f t="shared" si="8"/>
        <v>0</v>
      </c>
      <c r="R136" s="6"/>
    </row>
    <row r="137" spans="1:38" s="12" customFormat="1">
      <c r="A137" s="12" t="s">
        <v>42</v>
      </c>
      <c r="B137" s="13" t="s">
        <v>8</v>
      </c>
      <c r="C137" s="17">
        <v>145396.41140844749</v>
      </c>
      <c r="D137" s="33">
        <f>SUM(D100:D136)</f>
        <v>10</v>
      </c>
      <c r="E137" s="56">
        <f t="shared" si="9"/>
        <v>145406.41140844749</v>
      </c>
      <c r="F137" s="17"/>
      <c r="G137" s="17">
        <v>69676.289752727156</v>
      </c>
      <c r="H137" s="33">
        <f>SUM(H100:H136)</f>
        <v>0</v>
      </c>
      <c r="I137" s="56">
        <f t="shared" si="6"/>
        <v>69676.289752727156</v>
      </c>
      <c r="J137" s="17"/>
      <c r="K137" s="143">
        <v>105288.48707340495</v>
      </c>
      <c r="L137" s="144">
        <f>SUM(L100:L136)</f>
        <v>0</v>
      </c>
      <c r="M137" s="143">
        <f t="shared" si="7"/>
        <v>105288.48707340495</v>
      </c>
      <c r="N137" s="143"/>
      <c r="O137" s="143">
        <v>107111.58379840515</v>
      </c>
      <c r="P137" s="144">
        <f>SUM(P100:P136)</f>
        <v>0</v>
      </c>
      <c r="Q137" s="143">
        <f t="shared" si="8"/>
        <v>107111.58379840515</v>
      </c>
      <c r="R137" s="1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</row>
    <row r="138" spans="1:38">
      <c r="A138" t="s">
        <v>245</v>
      </c>
      <c r="B138" t="s">
        <v>246</v>
      </c>
      <c r="C138" s="6">
        <v>3195126.7350672302</v>
      </c>
      <c r="D138" s="32"/>
      <c r="E138" s="6">
        <f t="shared" si="9"/>
        <v>3195126.7350672302</v>
      </c>
      <c r="F138" s="6"/>
      <c r="G138" s="6">
        <v>3393156.0826184</v>
      </c>
      <c r="H138" s="32"/>
      <c r="I138" s="6">
        <f t="shared" si="6"/>
        <v>3393156.0826184</v>
      </c>
      <c r="J138" s="6"/>
      <c r="K138" s="141">
        <v>3228937.9158997401</v>
      </c>
      <c r="L138" s="142"/>
      <c r="M138" s="141">
        <f t="shared" si="7"/>
        <v>3228937.9158997401</v>
      </c>
      <c r="N138" s="141"/>
      <c r="O138" s="141">
        <v>3228937.9158997401</v>
      </c>
      <c r="P138" s="142"/>
      <c r="Q138" s="141">
        <f t="shared" si="8"/>
        <v>3228937.9158997401</v>
      </c>
      <c r="R138" s="6"/>
    </row>
    <row r="139" spans="1:38">
      <c r="A139" t="s">
        <v>247</v>
      </c>
      <c r="B139" t="s">
        <v>248</v>
      </c>
      <c r="C139" s="6">
        <v>-190154.06488579899</v>
      </c>
      <c r="D139" s="32"/>
      <c r="E139" s="6">
        <f t="shared" si="9"/>
        <v>-190154.06488579899</v>
      </c>
      <c r="F139" s="6"/>
      <c r="G139" s="6">
        <v>-315816.59307253099</v>
      </c>
      <c r="H139" s="32"/>
      <c r="I139" s="6">
        <f t="shared" si="6"/>
        <v>-315816.59307253099</v>
      </c>
      <c r="J139" s="6"/>
      <c r="K139" s="141">
        <v>-318523.79238728702</v>
      </c>
      <c r="L139" s="142"/>
      <c r="M139" s="141">
        <f t="shared" si="7"/>
        <v>-318523.79238728702</v>
      </c>
      <c r="N139" s="141"/>
      <c r="O139" s="141">
        <v>-318523.79238728702</v>
      </c>
      <c r="P139" s="142"/>
      <c r="Q139" s="141">
        <f t="shared" si="8"/>
        <v>-318523.79238728702</v>
      </c>
      <c r="R139" s="6"/>
    </row>
    <row r="140" spans="1:38">
      <c r="A140" t="s">
        <v>283</v>
      </c>
      <c r="B140" t="e">
        <f ca="1">_xll.GetCaratLDesc(A140)</f>
        <v>#NAME?</v>
      </c>
      <c r="C140" s="6">
        <v>19847.998724000001</v>
      </c>
      <c r="D140" s="32"/>
      <c r="E140" s="6">
        <f t="shared" si="9"/>
        <v>19847.998724000001</v>
      </c>
      <c r="F140" s="6"/>
      <c r="G140" s="6">
        <v>29</v>
      </c>
      <c r="H140" s="32"/>
      <c r="I140" s="6">
        <f>SUM(G140:H140)</f>
        <v>29</v>
      </c>
      <c r="J140" s="6"/>
      <c r="K140" s="141">
        <v>0</v>
      </c>
      <c r="L140" s="142"/>
      <c r="M140" s="141">
        <f>SUM(K140:L140)</f>
        <v>0</v>
      </c>
      <c r="N140" s="141"/>
      <c r="O140" s="141">
        <v>0</v>
      </c>
      <c r="P140" s="142"/>
      <c r="Q140" s="141">
        <f t="shared" ref="Q140:Q154" si="10">SUM(O140:P140)</f>
        <v>0</v>
      </c>
      <c r="R140" s="6"/>
    </row>
    <row r="141" spans="1:38">
      <c r="A141" t="s">
        <v>284</v>
      </c>
      <c r="B141" t="e">
        <f ca="1">_xll.GetCaratLDesc(A141)</f>
        <v>#NAME?</v>
      </c>
      <c r="C141" s="6">
        <v>0</v>
      </c>
      <c r="D141" s="32"/>
      <c r="E141" s="6">
        <f t="shared" si="9"/>
        <v>0</v>
      </c>
      <c r="F141" s="6"/>
      <c r="G141" s="6">
        <v>0</v>
      </c>
      <c r="H141" s="32"/>
      <c r="I141" s="6">
        <f>SUM(G141:H141)</f>
        <v>0</v>
      </c>
      <c r="J141" s="6"/>
      <c r="K141" s="141">
        <v>0</v>
      </c>
      <c r="L141" s="142"/>
      <c r="M141" s="141">
        <f>SUM(K141:L141)</f>
        <v>0</v>
      </c>
      <c r="N141" s="141"/>
      <c r="O141" s="141">
        <v>0</v>
      </c>
      <c r="P141" s="142"/>
      <c r="Q141" s="141">
        <f t="shared" si="10"/>
        <v>0</v>
      </c>
      <c r="R141" s="6"/>
    </row>
    <row r="142" spans="1:38">
      <c r="A142" t="s">
        <v>249</v>
      </c>
      <c r="B142" t="s">
        <v>250</v>
      </c>
      <c r="C142" s="6">
        <v>18796.458584</v>
      </c>
      <c r="D142" s="32"/>
      <c r="E142" s="6">
        <f t="shared" si="9"/>
        <v>18796.458584</v>
      </c>
      <c r="F142" s="6"/>
      <c r="G142" s="6">
        <v>17486.8276899999</v>
      </c>
      <c r="H142" s="32"/>
      <c r="I142" s="6">
        <f t="shared" si="6"/>
        <v>17486.8276899999</v>
      </c>
      <c r="J142" s="6"/>
      <c r="K142" s="141">
        <v>19366.525708000001</v>
      </c>
      <c r="L142" s="142"/>
      <c r="M142" s="141">
        <f t="shared" si="7"/>
        <v>19366.525708000001</v>
      </c>
      <c r="N142" s="141"/>
      <c r="O142" s="141">
        <v>19366.525708000001</v>
      </c>
      <c r="P142" s="142"/>
      <c r="Q142" s="141">
        <f t="shared" si="10"/>
        <v>19366.525708000001</v>
      </c>
      <c r="R142" s="6"/>
    </row>
    <row r="143" spans="1:38">
      <c r="A143" t="s">
        <v>251</v>
      </c>
      <c r="B143" t="s">
        <v>252</v>
      </c>
      <c r="C143" s="6">
        <v>0</v>
      </c>
      <c r="D143" s="32"/>
      <c r="E143" s="6">
        <f t="shared" si="9"/>
        <v>0</v>
      </c>
      <c r="F143" s="6"/>
      <c r="G143" s="6">
        <v>0</v>
      </c>
      <c r="H143" s="32"/>
      <c r="I143" s="6">
        <f t="shared" si="6"/>
        <v>0</v>
      </c>
      <c r="J143" s="6"/>
      <c r="K143" s="141">
        <v>0</v>
      </c>
      <c r="L143" s="142"/>
      <c r="M143" s="141">
        <f t="shared" si="7"/>
        <v>0</v>
      </c>
      <c r="N143" s="141"/>
      <c r="O143" s="141">
        <v>0</v>
      </c>
      <c r="P143" s="142"/>
      <c r="Q143" s="141">
        <f t="shared" si="10"/>
        <v>0</v>
      </c>
      <c r="R143" s="6"/>
    </row>
    <row r="144" spans="1:38">
      <c r="A144" s="11" t="s">
        <v>253</v>
      </c>
      <c r="B144" s="5" t="s">
        <v>254</v>
      </c>
      <c r="C144" s="6">
        <v>21240.321415999901</v>
      </c>
      <c r="D144" s="32"/>
      <c r="E144" s="6">
        <f t="shared" si="9"/>
        <v>21240.321415999901</v>
      </c>
      <c r="F144" s="6"/>
      <c r="G144" s="6">
        <v>19314.508269000002</v>
      </c>
      <c r="H144" s="32"/>
      <c r="I144" s="6">
        <f t="shared" si="6"/>
        <v>19314.508269000002</v>
      </c>
      <c r="J144" s="6"/>
      <c r="K144" s="141">
        <v>4980.7349640000002</v>
      </c>
      <c r="L144" s="142"/>
      <c r="M144" s="141">
        <f t="shared" si="7"/>
        <v>4980.7349640000002</v>
      </c>
      <c r="N144" s="141"/>
      <c r="O144" s="141">
        <v>4980.7349640000002</v>
      </c>
      <c r="P144" s="142"/>
      <c r="Q144" s="141">
        <f t="shared" si="10"/>
        <v>4980.7349640000002</v>
      </c>
      <c r="R144" s="6"/>
    </row>
    <row r="145" spans="1:38">
      <c r="A145" s="11" t="s">
        <v>255</v>
      </c>
      <c r="B145" s="5" t="s">
        <v>256</v>
      </c>
      <c r="C145" s="6">
        <v>12306.265982499899</v>
      </c>
      <c r="D145" s="32"/>
      <c r="E145" s="6">
        <f t="shared" si="9"/>
        <v>12306.265982499899</v>
      </c>
      <c r="F145" s="6"/>
      <c r="G145" s="6">
        <v>18195.7037901</v>
      </c>
      <c r="H145" s="32"/>
      <c r="I145" s="6">
        <f t="shared" si="6"/>
        <v>18195.7037901</v>
      </c>
      <c r="J145" s="6"/>
      <c r="K145" s="141">
        <v>23152.3310919666</v>
      </c>
      <c r="L145" s="142"/>
      <c r="M145" s="141">
        <f t="shared" si="7"/>
        <v>23152.3310919666</v>
      </c>
      <c r="N145" s="141"/>
      <c r="O145" s="141">
        <v>23152.3310919666</v>
      </c>
      <c r="P145" s="142"/>
      <c r="Q145" s="141">
        <f t="shared" si="10"/>
        <v>23152.3310919666</v>
      </c>
      <c r="R145" s="6"/>
    </row>
    <row r="146" spans="1:38">
      <c r="A146" s="11" t="s">
        <v>257</v>
      </c>
      <c r="B146" s="5" t="s">
        <v>258</v>
      </c>
      <c r="C146" s="6">
        <v>-153.354345</v>
      </c>
      <c r="D146" s="32"/>
      <c r="E146" s="6">
        <f t="shared" si="9"/>
        <v>-153.354345</v>
      </c>
      <c r="F146" s="6"/>
      <c r="G146" s="6">
        <v>-166.07012800000001</v>
      </c>
      <c r="H146" s="32"/>
      <c r="I146" s="6">
        <f t="shared" ref="I146:I154" si="11">SUM(G146:H146)</f>
        <v>-166.07012800000001</v>
      </c>
      <c r="J146" s="6"/>
      <c r="K146" s="141">
        <v>-194.36274599999899</v>
      </c>
      <c r="L146" s="142"/>
      <c r="M146" s="141">
        <f t="shared" ref="M146:M154" si="12">SUM(K146:L146)</f>
        <v>-194.36274599999899</v>
      </c>
      <c r="N146" s="141"/>
      <c r="O146" s="141">
        <v>-194.36274599999899</v>
      </c>
      <c r="P146" s="142"/>
      <c r="Q146" s="141">
        <f t="shared" si="10"/>
        <v>-194.36274599999899</v>
      </c>
      <c r="R146" s="6"/>
    </row>
    <row r="147" spans="1:38">
      <c r="A147" s="11" t="s">
        <v>259</v>
      </c>
      <c r="B147" s="5" t="s">
        <v>260</v>
      </c>
      <c r="C147" s="6">
        <v>6865.0112440000003</v>
      </c>
      <c r="D147" s="32"/>
      <c r="E147" s="6">
        <f t="shared" si="9"/>
        <v>6865.0112440000003</v>
      </c>
      <c r="F147" s="6"/>
      <c r="G147" s="6">
        <v>24846</v>
      </c>
      <c r="H147" s="32"/>
      <c r="I147" s="6">
        <f t="shared" si="11"/>
        <v>24846</v>
      </c>
      <c r="J147" s="6"/>
      <c r="K147" s="141">
        <v>13801.4148182222</v>
      </c>
      <c r="L147" s="142"/>
      <c r="M147" s="141">
        <f t="shared" si="12"/>
        <v>13801.4148182222</v>
      </c>
      <c r="N147" s="141"/>
      <c r="O147" s="141">
        <v>13801.4148182222</v>
      </c>
      <c r="P147" s="142"/>
      <c r="Q147" s="141">
        <f t="shared" si="10"/>
        <v>13801.4148182222</v>
      </c>
      <c r="R147" s="6"/>
    </row>
    <row r="148" spans="1:38">
      <c r="A148" s="11" t="s">
        <v>261</v>
      </c>
      <c r="B148" s="5" t="s">
        <v>262</v>
      </c>
      <c r="C148" s="6">
        <v>0</v>
      </c>
      <c r="D148" s="32"/>
      <c r="E148" s="6">
        <f t="shared" si="9"/>
        <v>0</v>
      </c>
      <c r="F148" s="6"/>
      <c r="G148" s="6">
        <v>0</v>
      </c>
      <c r="H148" s="32"/>
      <c r="I148" s="6">
        <f t="shared" si="11"/>
        <v>0</v>
      </c>
      <c r="J148" s="6"/>
      <c r="K148" s="141">
        <v>-3438.119604</v>
      </c>
      <c r="L148" s="142"/>
      <c r="M148" s="141">
        <f t="shared" si="12"/>
        <v>-3438.119604</v>
      </c>
      <c r="N148" s="141"/>
      <c r="O148" s="141">
        <v>-3438.119604</v>
      </c>
      <c r="P148" s="142"/>
      <c r="Q148" s="141">
        <f t="shared" si="10"/>
        <v>-3438.119604</v>
      </c>
      <c r="R148" s="6"/>
    </row>
    <row r="149" spans="1:38" s="12" customFormat="1" ht="22.5">
      <c r="A149" s="12" t="s">
        <v>42</v>
      </c>
      <c r="B149" s="13" t="s">
        <v>9</v>
      </c>
      <c r="C149" s="17">
        <v>3083875.3717869311</v>
      </c>
      <c r="D149" s="33">
        <f>SUM(D138:D148)</f>
        <v>0</v>
      </c>
      <c r="E149" s="56">
        <f t="shared" si="9"/>
        <v>3083875.3717869311</v>
      </c>
      <c r="F149" s="17"/>
      <c r="G149" s="17">
        <v>3157045.4591669687</v>
      </c>
      <c r="H149" s="33">
        <f>SUM(H138:H148)</f>
        <v>0</v>
      </c>
      <c r="I149" s="56">
        <f t="shared" si="11"/>
        <v>3157045.4591669687</v>
      </c>
      <c r="J149" s="17"/>
      <c r="K149" s="143">
        <v>2968082.6477446421</v>
      </c>
      <c r="L149" s="144">
        <f>SUM(L138:L148)</f>
        <v>0</v>
      </c>
      <c r="M149" s="143">
        <f t="shared" si="12"/>
        <v>2968082.6477446421</v>
      </c>
      <c r="N149" s="143"/>
      <c r="O149" s="143">
        <v>2968082.6477446421</v>
      </c>
      <c r="P149" s="144">
        <f>SUM(P138:P148)</f>
        <v>0</v>
      </c>
      <c r="Q149" s="143">
        <f t="shared" si="10"/>
        <v>2968082.6477446421</v>
      </c>
      <c r="R149" s="17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</row>
    <row r="150" spans="1:38">
      <c r="A150" s="11" t="s">
        <v>263</v>
      </c>
      <c r="B150" s="5" t="s">
        <v>264</v>
      </c>
      <c r="C150" s="6">
        <v>0</v>
      </c>
      <c r="D150" s="32"/>
      <c r="E150" s="6">
        <f t="shared" si="9"/>
        <v>0</v>
      </c>
      <c r="F150" s="6"/>
      <c r="G150" s="6">
        <v>0</v>
      </c>
      <c r="H150" s="32"/>
      <c r="I150" s="6">
        <f t="shared" si="11"/>
        <v>0</v>
      </c>
      <c r="J150" s="6"/>
      <c r="K150" s="141">
        <v>0</v>
      </c>
      <c r="L150" s="142"/>
      <c r="M150" s="141">
        <f t="shared" si="12"/>
        <v>0</v>
      </c>
      <c r="N150" s="141"/>
      <c r="O150" s="141">
        <v>0</v>
      </c>
      <c r="P150" s="142"/>
      <c r="Q150" s="141">
        <f t="shared" si="10"/>
        <v>0</v>
      </c>
      <c r="R150" s="6"/>
    </row>
    <row r="151" spans="1:38">
      <c r="A151" s="11" t="s">
        <v>265</v>
      </c>
      <c r="B151" s="5" t="s">
        <v>266</v>
      </c>
      <c r="C151" s="6">
        <v>0</v>
      </c>
      <c r="D151" s="32"/>
      <c r="E151" s="6">
        <f t="shared" si="9"/>
        <v>0</v>
      </c>
      <c r="F151" s="6"/>
      <c r="G151" s="6">
        <v>0</v>
      </c>
      <c r="H151" s="32"/>
      <c r="I151" s="6">
        <f t="shared" si="11"/>
        <v>0</v>
      </c>
      <c r="J151" s="6"/>
      <c r="K151" s="141">
        <v>0</v>
      </c>
      <c r="L151" s="142"/>
      <c r="M151" s="141">
        <f t="shared" si="12"/>
        <v>0</v>
      </c>
      <c r="N151" s="141"/>
      <c r="O151" s="141">
        <v>0</v>
      </c>
      <c r="P151" s="142"/>
      <c r="Q151" s="141">
        <f t="shared" si="10"/>
        <v>0</v>
      </c>
      <c r="R151" s="6"/>
    </row>
    <row r="152" spans="1:38">
      <c r="A152" s="11" t="s">
        <v>267</v>
      </c>
      <c r="B152" s="5" t="s">
        <v>268</v>
      </c>
      <c r="C152" s="6">
        <v>0</v>
      </c>
      <c r="D152" s="32"/>
      <c r="E152" s="6">
        <f t="shared" si="9"/>
        <v>0</v>
      </c>
      <c r="F152" s="6"/>
      <c r="G152" s="6">
        <v>765</v>
      </c>
      <c r="H152" s="32"/>
      <c r="I152" s="6">
        <f t="shared" si="11"/>
        <v>765</v>
      </c>
      <c r="J152" s="6"/>
      <c r="K152" s="141">
        <v>0</v>
      </c>
      <c r="L152" s="142"/>
      <c r="M152" s="141">
        <f t="shared" si="12"/>
        <v>0</v>
      </c>
      <c r="N152" s="141"/>
      <c r="O152" s="141">
        <v>0</v>
      </c>
      <c r="P152" s="142"/>
      <c r="Q152" s="141">
        <f t="shared" si="10"/>
        <v>0</v>
      </c>
      <c r="R152" s="6"/>
    </row>
    <row r="153" spans="1:38">
      <c r="A153" s="11" t="s">
        <v>269</v>
      </c>
      <c r="B153" s="5" t="s">
        <v>270</v>
      </c>
      <c r="C153" s="6">
        <v>0</v>
      </c>
      <c r="D153" s="32"/>
      <c r="E153" s="6">
        <f t="shared" si="9"/>
        <v>0</v>
      </c>
      <c r="F153" s="6"/>
      <c r="G153" s="6">
        <v>0</v>
      </c>
      <c r="H153" s="32"/>
      <c r="I153" s="6">
        <f t="shared" si="11"/>
        <v>0</v>
      </c>
      <c r="J153" s="6"/>
      <c r="K153" s="141">
        <v>0</v>
      </c>
      <c r="L153" s="142"/>
      <c r="M153" s="141">
        <f t="shared" si="12"/>
        <v>0</v>
      </c>
      <c r="N153" s="141"/>
      <c r="O153" s="141">
        <v>0</v>
      </c>
      <c r="P153" s="142"/>
      <c r="Q153" s="141">
        <f t="shared" si="10"/>
        <v>0</v>
      </c>
      <c r="R153" s="6"/>
    </row>
    <row r="154" spans="1:38" s="12" customFormat="1">
      <c r="A154" s="12" t="s">
        <v>42</v>
      </c>
      <c r="B154" s="13" t="s">
        <v>10</v>
      </c>
      <c r="C154" s="17">
        <v>0</v>
      </c>
      <c r="D154" s="33">
        <f>SUM(D150:D153)</f>
        <v>0</v>
      </c>
      <c r="E154" s="56">
        <f t="shared" si="9"/>
        <v>0</v>
      </c>
      <c r="F154" s="17"/>
      <c r="G154" s="17">
        <v>765</v>
      </c>
      <c r="H154" s="33">
        <f>SUM(H150:H153)</f>
        <v>0</v>
      </c>
      <c r="I154" s="56">
        <f t="shared" si="11"/>
        <v>765</v>
      </c>
      <c r="J154" s="17"/>
      <c r="K154" s="143">
        <v>0</v>
      </c>
      <c r="L154" s="144">
        <f>SUM(L150:L153)</f>
        <v>0</v>
      </c>
      <c r="M154" s="143">
        <f t="shared" si="12"/>
        <v>0</v>
      </c>
      <c r="N154" s="143"/>
      <c r="O154" s="143">
        <v>0</v>
      </c>
      <c r="P154" s="144">
        <f>SUM(P150:P153)</f>
        <v>0</v>
      </c>
      <c r="Q154" s="143">
        <f t="shared" si="10"/>
        <v>0</v>
      </c>
      <c r="R154" s="17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>
      <c r="B155" s="7"/>
      <c r="C155" s="8"/>
      <c r="D155" s="35"/>
      <c r="E155" s="8"/>
      <c r="F155" s="8"/>
      <c r="G155" s="8"/>
      <c r="H155" s="35"/>
      <c r="I155" s="8"/>
      <c r="J155" s="8"/>
      <c r="K155" s="145"/>
      <c r="L155" s="146"/>
      <c r="M155" s="145"/>
      <c r="N155" s="145"/>
      <c r="O155" s="145"/>
      <c r="P155" s="146"/>
      <c r="Q155" s="145"/>
      <c r="R155" s="8"/>
    </row>
    <row r="156" spans="1:38">
      <c r="B156" s="9" t="s">
        <v>5</v>
      </c>
      <c r="C156" s="10">
        <v>4541383.9811070645</v>
      </c>
      <c r="D156" s="36">
        <f>SUM(D154,D149,D137,D99,D61,D43,D27,D23)</f>
        <v>-7</v>
      </c>
      <c r="E156" s="10">
        <f>SUM(E154,E149,E137,E99,E61,E43,E27,E23)</f>
        <v>4541376.9811070645</v>
      </c>
      <c r="F156" s="10"/>
      <c r="G156" s="10">
        <v>4462417.1432271246</v>
      </c>
      <c r="H156" s="36">
        <f>SUM(H154,H149,H137,H99,H61,H43,H27,H23)</f>
        <v>0</v>
      </c>
      <c r="I156" s="10">
        <f>SUM(I154,I149,I137,I99,I61,I43,I27,I23)</f>
        <v>4462417.1432271246</v>
      </c>
      <c r="J156" s="10"/>
      <c r="K156" s="147">
        <v>4056704.3594179759</v>
      </c>
      <c r="L156" s="148">
        <f>SUM(L154,L149,L137,L99,L61,L43,L27,L23)</f>
        <v>0</v>
      </c>
      <c r="M156" s="147">
        <f>SUM(M154,M149,M137,M99,M61,M43,M27,M23)</f>
        <v>4056704.3594179759</v>
      </c>
      <c r="N156" s="147"/>
      <c r="O156" s="147">
        <v>3955425.0028179763</v>
      </c>
      <c r="P156" s="148">
        <f>SUM(P154,P149,P137,P99,P61,P43,P27,P23)</f>
        <v>0</v>
      </c>
      <c r="Q156" s="147">
        <f>SUM(Q154,Q149,Q137,Q99,Q61,Q43,Q27,Q23)</f>
        <v>3955425.0028179763</v>
      </c>
      <c r="R156" s="10"/>
    </row>
    <row r="159" spans="1:38">
      <c r="D159" s="15" t="s">
        <v>318</v>
      </c>
      <c r="E159" s="15"/>
      <c r="F159" s="15"/>
      <c r="G159" s="15"/>
      <c r="H159" s="15" t="s">
        <v>318</v>
      </c>
      <c r="I159" s="15"/>
      <c r="J159" s="15"/>
      <c r="K159" s="149"/>
      <c r="L159" s="149" t="s">
        <v>318</v>
      </c>
      <c r="O159" s="149"/>
      <c r="P159" s="149" t="s">
        <v>318</v>
      </c>
      <c r="R159" s="15"/>
    </row>
    <row r="160" spans="1:38" s="20" customFormat="1">
      <c r="A160" s="11" t="s">
        <v>310</v>
      </c>
      <c r="B160" t="e">
        <f ca="1">_xll.GetCaratLDesc(A160)</f>
        <v>#NAME?</v>
      </c>
      <c r="C160" s="6">
        <v>827664.03181532002</v>
      </c>
      <c r="D160" s="14">
        <f>+C160-C23</f>
        <v>0</v>
      </c>
      <c r="E160" s="6">
        <f>SUM(C160:D160)</f>
        <v>827664.03181532002</v>
      </c>
      <c r="F160" s="6"/>
      <c r="G160" s="6">
        <v>655795.27458125097</v>
      </c>
      <c r="H160" s="14">
        <f>+G160-G23</f>
        <v>0</v>
      </c>
      <c r="I160" s="6">
        <f>SUM(G160:H160)</f>
        <v>655795.27458125097</v>
      </c>
      <c r="J160" s="6"/>
      <c r="K160" s="141">
        <v>528312.16787205602</v>
      </c>
      <c r="L160" s="141">
        <f>+K160-K23</f>
        <v>0</v>
      </c>
      <c r="M160" s="141">
        <f>SUM(K160:L160)</f>
        <v>528312.16787205602</v>
      </c>
      <c r="N160" s="143"/>
      <c r="O160" s="141">
        <v>453534.633272056</v>
      </c>
      <c r="P160" s="141">
        <f>+O160-O23</f>
        <v>6.9849193096160889E-10</v>
      </c>
      <c r="Q160" s="141">
        <f>SUM(O160:P160)</f>
        <v>453534.6332720567</v>
      </c>
      <c r="R160" s="6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:38">
      <c r="A161" s="58" t="s">
        <v>311</v>
      </c>
      <c r="B161" t="e">
        <f ca="1">_xll.GetCaratLDesc(A161)</f>
        <v>#NAME?</v>
      </c>
      <c r="C161" s="6">
        <v>425872.57981511601</v>
      </c>
      <c r="D161" s="14">
        <f>+C161-C99</f>
        <v>9.3132257461547852E-10</v>
      </c>
      <c r="E161" s="6">
        <f t="shared" ref="E161:E167" si="13">SUM(C161:D161)</f>
        <v>425872.57981511694</v>
      </c>
      <c r="F161" s="6"/>
      <c r="G161" s="6">
        <v>471018.40971581498</v>
      </c>
      <c r="H161" s="14">
        <f>+G161-G99</f>
        <v>0</v>
      </c>
      <c r="I161" s="6">
        <f t="shared" ref="I161:I167" si="14">SUM(G161:H161)</f>
        <v>471018.40971581498</v>
      </c>
      <c r="J161" s="6"/>
      <c r="K161" s="141">
        <v>409029.78042688902</v>
      </c>
      <c r="L161" s="141">
        <f>+K161-K99</f>
        <v>0</v>
      </c>
      <c r="M161" s="141">
        <f t="shared" ref="M161:M167" si="15">SUM(K161:L161)</f>
        <v>409029.78042688902</v>
      </c>
      <c r="O161" s="141">
        <v>407644.68370188901</v>
      </c>
      <c r="P161" s="141">
        <f>+O161-O99</f>
        <v>0</v>
      </c>
      <c r="Q161" s="141">
        <f t="shared" ref="Q161:Q167" si="16">SUM(O161:P161)</f>
        <v>407644.68370188901</v>
      </c>
      <c r="R161" s="6"/>
    </row>
    <row r="162" spans="1:38" s="14" customFormat="1">
      <c r="A162" s="58" t="s">
        <v>313</v>
      </c>
      <c r="B162" t="e">
        <f ca="1">_xll.GetCaratLDesc(A162)</f>
        <v>#NAME?</v>
      </c>
      <c r="C162" s="6">
        <v>45036</v>
      </c>
      <c r="D162" s="14">
        <f>+C162-C43</f>
        <v>0</v>
      </c>
      <c r="E162" s="6">
        <f t="shared" si="13"/>
        <v>45036</v>
      </c>
      <c r="F162" s="6"/>
      <c r="G162" s="6">
        <v>40700.11</v>
      </c>
      <c r="H162" s="14">
        <f>+G162-G43</f>
        <v>0</v>
      </c>
      <c r="I162" s="6">
        <f t="shared" si="14"/>
        <v>40700.11</v>
      </c>
      <c r="J162" s="6"/>
      <c r="K162" s="141">
        <v>21527.0999999999</v>
      </c>
      <c r="L162" s="141">
        <f>+K162-K43</f>
        <v>0</v>
      </c>
      <c r="M162" s="141">
        <f t="shared" si="15"/>
        <v>21527.0999999999</v>
      </c>
      <c r="N162" s="141"/>
      <c r="O162" s="141">
        <v>0</v>
      </c>
      <c r="P162" s="141">
        <f>+O162-O43</f>
        <v>0</v>
      </c>
      <c r="Q162" s="141">
        <f t="shared" si="16"/>
        <v>0</v>
      </c>
      <c r="R162" s="6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:38">
      <c r="A163" s="11" t="s">
        <v>312</v>
      </c>
      <c r="B163" t="e">
        <f ca="1">_xll.GetCaratLDesc(A163)</f>
        <v>#NAME?</v>
      </c>
      <c r="C163" s="6">
        <v>0</v>
      </c>
      <c r="D163" s="59"/>
      <c r="E163" s="6">
        <f t="shared" si="13"/>
        <v>0</v>
      </c>
      <c r="F163" s="6"/>
      <c r="G163" s="6">
        <v>0</v>
      </c>
      <c r="H163" s="59"/>
      <c r="I163" s="6">
        <f t="shared" si="14"/>
        <v>0</v>
      </c>
      <c r="J163" s="6"/>
      <c r="K163" s="141">
        <v>0</v>
      </c>
      <c r="L163" s="150"/>
      <c r="M163" s="141">
        <f t="shared" si="15"/>
        <v>0</v>
      </c>
      <c r="N163" s="143"/>
      <c r="O163" s="141">
        <v>0</v>
      </c>
      <c r="P163" s="150"/>
      <c r="Q163" s="141">
        <f t="shared" si="16"/>
        <v>0</v>
      </c>
      <c r="R163" s="6"/>
    </row>
    <row r="164" spans="1:38">
      <c r="A164" s="58" t="s">
        <v>314</v>
      </c>
      <c r="B164" t="e">
        <f ca="1">_xll.GetCaratLDesc(A164)</f>
        <v>#NAME?</v>
      </c>
      <c r="C164" s="6">
        <v>12421.5862812499</v>
      </c>
      <c r="D164" s="14">
        <f>+C164-C61</f>
        <v>-8.0035533756017685E-11</v>
      </c>
      <c r="E164" s="6">
        <f t="shared" si="13"/>
        <v>12421.58628124982</v>
      </c>
      <c r="F164" s="6"/>
      <c r="G164" s="6">
        <v>10755.7142717233</v>
      </c>
      <c r="H164" s="14">
        <f>+G164-G61</f>
        <v>-1.8189894035458565E-11</v>
      </c>
      <c r="I164" s="6">
        <f t="shared" si="14"/>
        <v>10755.714271723282</v>
      </c>
      <c r="J164" s="6"/>
      <c r="K164" s="141">
        <v>5412.7219999999897</v>
      </c>
      <c r="L164" s="141">
        <f>+K164-K61</f>
        <v>0</v>
      </c>
      <c r="M164" s="141">
        <f t="shared" si="15"/>
        <v>5412.7219999999897</v>
      </c>
      <c r="O164" s="141">
        <v>0</v>
      </c>
      <c r="P164" s="141">
        <f>+O164-O61</f>
        <v>0</v>
      </c>
      <c r="Q164" s="141">
        <f t="shared" si="16"/>
        <v>0</v>
      </c>
      <c r="R164" s="6"/>
    </row>
    <row r="165" spans="1:38">
      <c r="A165" s="58" t="s">
        <v>315</v>
      </c>
      <c r="B165" t="e">
        <f ca="1">_xll.GetCaratLDesc(A165)</f>
        <v>#NAME?</v>
      </c>
      <c r="C165" s="6">
        <v>145396.41140844801</v>
      </c>
      <c r="D165" s="14">
        <f>+C165-C137</f>
        <v>5.2386894822120667E-10</v>
      </c>
      <c r="E165" s="6">
        <f t="shared" si="13"/>
        <v>145396.41140844853</v>
      </c>
      <c r="F165" s="6"/>
      <c r="G165" s="6">
        <v>69676.289752727404</v>
      </c>
      <c r="H165" s="14">
        <f>+G165-G137</f>
        <v>2.4738255888223648E-10</v>
      </c>
      <c r="I165" s="6">
        <f t="shared" si="14"/>
        <v>69676.289752727651</v>
      </c>
      <c r="J165" s="6"/>
      <c r="K165" s="141">
        <v>105288.48707340501</v>
      </c>
      <c r="L165" s="141">
        <f>+K165-K137</f>
        <v>0</v>
      </c>
      <c r="M165" s="141">
        <f t="shared" si="15"/>
        <v>105288.48707340501</v>
      </c>
      <c r="O165" s="141">
        <v>107111.583798405</v>
      </c>
      <c r="P165" s="141">
        <f>+O165-O137</f>
        <v>-1.4551915228366852E-10</v>
      </c>
      <c r="Q165" s="141">
        <f t="shared" si="16"/>
        <v>107111.58379840486</v>
      </c>
      <c r="R165" s="6"/>
    </row>
    <row r="166" spans="1:38">
      <c r="A166" s="58" t="s">
        <v>316</v>
      </c>
      <c r="B166" t="e">
        <f ca="1">_xll.GetCaratLDesc(A166)</f>
        <v>#NAME?</v>
      </c>
      <c r="C166" s="6">
        <v>3083875.3717869301</v>
      </c>
      <c r="D166" s="14">
        <f>+C166-C149</f>
        <v>0</v>
      </c>
      <c r="E166" s="6">
        <f t="shared" si="13"/>
        <v>3083875.3717869301</v>
      </c>
      <c r="F166" s="6"/>
      <c r="G166" s="6">
        <v>3157045.4591669701</v>
      </c>
      <c r="H166" s="14">
        <f>+G166-G149</f>
        <v>0</v>
      </c>
      <c r="I166" s="6">
        <f t="shared" si="14"/>
        <v>3157045.4591669701</v>
      </c>
      <c r="J166" s="6"/>
      <c r="K166" s="141">
        <v>2968082.6477446398</v>
      </c>
      <c r="L166" s="141">
        <f>+K166-K149</f>
        <v>0</v>
      </c>
      <c r="M166" s="141">
        <f t="shared" si="15"/>
        <v>2968082.6477446398</v>
      </c>
      <c r="O166" s="141">
        <v>2968082.6477446398</v>
      </c>
      <c r="P166" s="141">
        <f>+O166-O149</f>
        <v>0</v>
      </c>
      <c r="Q166" s="141">
        <f t="shared" si="16"/>
        <v>2968082.6477446398</v>
      </c>
      <c r="R166" s="6"/>
    </row>
    <row r="167" spans="1:38">
      <c r="A167" s="58" t="s">
        <v>317</v>
      </c>
      <c r="B167" t="e">
        <f ca="1">_xll.GetCaratLDesc(A167)</f>
        <v>#NAME?</v>
      </c>
      <c r="C167" s="6">
        <v>1118</v>
      </c>
      <c r="D167" s="14">
        <f>+C167-C27-E154</f>
        <v>0</v>
      </c>
      <c r="E167" s="6">
        <f t="shared" si="13"/>
        <v>1118</v>
      </c>
      <c r="F167" s="6"/>
      <c r="G167" s="6">
        <v>57425.885738639903</v>
      </c>
      <c r="H167" s="14">
        <f>+G167-G27-I154</f>
        <v>0</v>
      </c>
      <c r="I167" s="6">
        <f t="shared" si="14"/>
        <v>57425.885738639903</v>
      </c>
      <c r="J167" s="6"/>
      <c r="K167" s="141">
        <v>19051.454300984002</v>
      </c>
      <c r="L167" s="141">
        <f>+K167-K27</f>
        <v>0</v>
      </c>
      <c r="M167" s="141">
        <f t="shared" si="15"/>
        <v>19051.454300984002</v>
      </c>
      <c r="O167" s="141">
        <v>19051.454300984002</v>
      </c>
      <c r="P167" s="141">
        <f>+O167-O27</f>
        <v>0</v>
      </c>
      <c r="Q167" s="141">
        <f t="shared" si="16"/>
        <v>19051.454300984002</v>
      </c>
      <c r="R167" s="6"/>
    </row>
    <row r="168" spans="1:38">
      <c r="A168" s="11"/>
    </row>
    <row r="169" spans="1:38" hidden="1" outlineLevel="1">
      <c r="A169" s="11"/>
    </row>
    <row r="170" spans="1:38" hidden="1" outlineLevel="1">
      <c r="A170" s="11"/>
    </row>
    <row r="171" spans="1:38" hidden="1" outlineLevel="1"/>
    <row r="172" spans="1:38" hidden="1" outlineLevel="1"/>
    <row r="173" spans="1:38" hidden="1" outlineLevel="1">
      <c r="A173" t="s">
        <v>36</v>
      </c>
      <c r="B173" t="s">
        <v>37</v>
      </c>
      <c r="C173" s="6">
        <v>1654</v>
      </c>
      <c r="D173" s="32"/>
      <c r="E173" s="6">
        <v>1654</v>
      </c>
      <c r="F173" s="6"/>
      <c r="G173" s="6">
        <v>56962.885738639903</v>
      </c>
      <c r="H173" s="32"/>
      <c r="I173" s="6">
        <v>56962.885738639903</v>
      </c>
    </row>
    <row r="174" spans="1:38" hidden="1" outlineLevel="1">
      <c r="A174" t="s">
        <v>38</v>
      </c>
      <c r="B174" t="s">
        <v>39</v>
      </c>
      <c r="C174" s="6">
        <v>0</v>
      </c>
      <c r="D174" s="32"/>
      <c r="E174" s="6">
        <v>0</v>
      </c>
      <c r="F174" s="6"/>
      <c r="G174" s="6">
        <v>0</v>
      </c>
      <c r="H174" s="32"/>
      <c r="I174" s="6">
        <v>0</v>
      </c>
    </row>
    <row r="175" spans="1:38" hidden="1" outlineLevel="1">
      <c r="A175" t="s">
        <v>40</v>
      </c>
      <c r="B175" t="s">
        <v>41</v>
      </c>
      <c r="C175" s="6">
        <v>-536</v>
      </c>
      <c r="D175" s="32"/>
      <c r="E175" s="6">
        <v>-536</v>
      </c>
      <c r="F175" s="6"/>
      <c r="G175" s="6">
        <v>-302</v>
      </c>
      <c r="H175" s="32"/>
      <c r="I175" s="6">
        <v>-302</v>
      </c>
    </row>
    <row r="176" spans="1:38" hidden="1" outlineLevel="1">
      <c r="A176" s="128" t="s">
        <v>267</v>
      </c>
      <c r="B176" s="128" t="s">
        <v>268</v>
      </c>
      <c r="C176" s="6">
        <v>0</v>
      </c>
      <c r="D176" s="32"/>
      <c r="E176" s="6">
        <v>0</v>
      </c>
      <c r="F176" s="6"/>
      <c r="G176" s="6">
        <v>765</v>
      </c>
      <c r="H176" s="32"/>
      <c r="I176" s="6">
        <v>765</v>
      </c>
    </row>
    <row r="177" spans="1:9" hidden="1" outlineLevel="1">
      <c r="A177" s="128" t="s">
        <v>269</v>
      </c>
      <c r="B177" s="128" t="s">
        <v>270</v>
      </c>
      <c r="C177" s="6">
        <v>0</v>
      </c>
      <c r="D177" s="32"/>
      <c r="E177" s="6">
        <v>0</v>
      </c>
      <c r="F177" s="6"/>
      <c r="G177" s="6">
        <v>0</v>
      </c>
      <c r="H177" s="32"/>
      <c r="I177" s="6">
        <v>0</v>
      </c>
    </row>
    <row r="178" spans="1:9" hidden="1" outlineLevel="1">
      <c r="A178" s="128" t="s">
        <v>263</v>
      </c>
      <c r="B178" s="128" t="s">
        <v>264</v>
      </c>
      <c r="C178" s="6">
        <v>0</v>
      </c>
      <c r="D178" s="32"/>
      <c r="E178" s="6">
        <v>0</v>
      </c>
      <c r="F178" s="6"/>
      <c r="G178" s="6">
        <v>0</v>
      </c>
      <c r="H178" s="32"/>
      <c r="I178" s="6">
        <v>0</v>
      </c>
    </row>
    <row r="179" spans="1:9" hidden="1" outlineLevel="1">
      <c r="A179" s="128" t="s">
        <v>265</v>
      </c>
      <c r="B179" s="128" t="s">
        <v>266</v>
      </c>
      <c r="C179" s="6">
        <v>0</v>
      </c>
      <c r="D179" s="32"/>
      <c r="E179" s="6">
        <v>0</v>
      </c>
      <c r="F179" s="6"/>
      <c r="G179" s="6">
        <v>0</v>
      </c>
      <c r="H179" s="32"/>
      <c r="I179" s="6">
        <v>0</v>
      </c>
    </row>
    <row r="180" spans="1:9" hidden="1" outlineLevel="1">
      <c r="A180" s="20" t="s">
        <v>354</v>
      </c>
      <c r="B180" s="20" t="s">
        <v>355</v>
      </c>
      <c r="C180" s="55">
        <v>1118</v>
      </c>
      <c r="D180" s="129"/>
      <c r="E180" s="55">
        <v>1118</v>
      </c>
      <c r="F180" s="55"/>
      <c r="G180" s="55">
        <v>57425.885738639903</v>
      </c>
      <c r="H180" s="129"/>
      <c r="I180" s="55">
        <v>57425.885738639903</v>
      </c>
    </row>
    <row r="181" spans="1:9" hidden="1" outlineLevel="1" collapsed="1">
      <c r="C181" s="130">
        <v>0</v>
      </c>
      <c r="E181" s="130">
        <v>0</v>
      </c>
      <c r="G181" s="130">
        <v>0</v>
      </c>
      <c r="I181" s="130">
        <v>0</v>
      </c>
    </row>
    <row r="182" spans="1:9" collapsed="1"/>
    <row r="183" spans="1:9">
      <c r="A183" s="127" t="s">
        <v>342</v>
      </c>
      <c r="B183" s="127" t="s">
        <v>356</v>
      </c>
      <c r="C183" s="6">
        <v>465753.66098048899</v>
      </c>
      <c r="D183" s="32"/>
      <c r="E183" s="6">
        <v>465753.66098048899</v>
      </c>
      <c r="F183" s="6"/>
      <c r="G183" s="6">
        <v>412183.088001022</v>
      </c>
      <c r="H183" s="32"/>
      <c r="I183" s="6">
        <v>412183.088001022</v>
      </c>
    </row>
    <row r="184" spans="1:9">
      <c r="A184" s="127" t="s">
        <v>343</v>
      </c>
      <c r="B184" s="127" t="s">
        <v>357</v>
      </c>
      <c r="C184" s="6">
        <v>239539.01019</v>
      </c>
      <c r="D184" s="32"/>
      <c r="E184" s="6">
        <v>239539.01019</v>
      </c>
      <c r="F184" s="6"/>
      <c r="G184" s="6">
        <v>312828.48075035698</v>
      </c>
      <c r="H184" s="32"/>
      <c r="I184" s="6">
        <v>312828.48075035698</v>
      </c>
    </row>
    <row r="185" spans="1:9">
      <c r="A185" s="127" t="s">
        <v>344</v>
      </c>
      <c r="B185" s="127" t="s">
        <v>358</v>
      </c>
      <c r="C185" s="6">
        <v>1328859.171196</v>
      </c>
      <c r="D185" s="32"/>
      <c r="E185" s="6">
        <v>1328859.171196</v>
      </c>
      <c r="F185" s="6"/>
      <c r="G185" s="6">
        <v>1235927.6123571801</v>
      </c>
      <c r="H185" s="32"/>
      <c r="I185" s="6">
        <v>1235927.6123571801</v>
      </c>
    </row>
    <row r="186" spans="1:9">
      <c r="A186" s="127" t="s">
        <v>345</v>
      </c>
      <c r="B186" s="127" t="s">
        <v>359</v>
      </c>
      <c r="C186" s="6">
        <v>9919</v>
      </c>
      <c r="D186" s="32"/>
      <c r="E186" s="6">
        <v>9919</v>
      </c>
      <c r="F186" s="6"/>
      <c r="G186" s="6">
        <v>17439.2562289999</v>
      </c>
      <c r="H186" s="32"/>
      <c r="I186" s="6">
        <v>17439.2562289999</v>
      </c>
    </row>
    <row r="187" spans="1:9">
      <c r="A187" s="127" t="s">
        <v>346</v>
      </c>
      <c r="B187" s="127" t="s">
        <v>360</v>
      </c>
      <c r="C187" s="6">
        <v>0</v>
      </c>
      <c r="D187" s="32"/>
      <c r="E187" s="6">
        <v>0</v>
      </c>
      <c r="F187" s="6"/>
      <c r="G187" s="6">
        <v>-14</v>
      </c>
      <c r="H187" s="32"/>
      <c r="I187" s="6">
        <v>-14</v>
      </c>
    </row>
    <row r="188" spans="1:9">
      <c r="A188" s="127" t="s">
        <v>347</v>
      </c>
      <c r="B188" s="127" t="s">
        <v>361</v>
      </c>
      <c r="C188" s="6">
        <v>2841.2213839999899</v>
      </c>
      <c r="D188" s="32"/>
      <c r="E188" s="6">
        <v>2841.2213839999899</v>
      </c>
      <c r="F188" s="6"/>
      <c r="G188" s="6">
        <v>496.41600949999901</v>
      </c>
      <c r="H188" s="32"/>
      <c r="I188" s="6">
        <v>496.41600949999901</v>
      </c>
    </row>
    <row r="189" spans="1:9">
      <c r="A189" s="127" t="s">
        <v>348</v>
      </c>
      <c r="B189" s="127" t="s">
        <v>362</v>
      </c>
      <c r="C189" s="6">
        <v>318</v>
      </c>
      <c r="D189" s="32"/>
      <c r="E189" s="6">
        <v>318</v>
      </c>
      <c r="F189" s="6"/>
      <c r="G189" s="6">
        <v>0</v>
      </c>
      <c r="H189" s="32"/>
      <c r="I189" s="6">
        <v>0</v>
      </c>
    </row>
    <row r="190" spans="1:9">
      <c r="A190" s="127" t="s">
        <v>349</v>
      </c>
      <c r="B190" s="127" t="s">
        <v>363</v>
      </c>
      <c r="C190" s="6">
        <v>-27.03</v>
      </c>
      <c r="D190" s="32"/>
      <c r="E190" s="6">
        <v>-27.03</v>
      </c>
      <c r="F190" s="6"/>
      <c r="G190" s="6">
        <v>-54917.339999999902</v>
      </c>
      <c r="H190" s="32"/>
      <c r="I190" s="6">
        <v>-54917.339999999902</v>
      </c>
    </row>
    <row r="191" spans="1:9">
      <c r="A191" s="127" t="s">
        <v>350</v>
      </c>
      <c r="B191" s="127" t="s">
        <v>364</v>
      </c>
      <c r="C191" s="6">
        <v>0</v>
      </c>
      <c r="D191" s="32"/>
      <c r="E191" s="6">
        <v>0</v>
      </c>
      <c r="F191" s="6"/>
      <c r="G191" s="6">
        <v>0</v>
      </c>
      <c r="H191" s="32"/>
      <c r="I191" s="6">
        <v>0</v>
      </c>
    </row>
    <row r="192" spans="1:9">
      <c r="A192" s="127" t="s">
        <v>351</v>
      </c>
      <c r="B192" s="127" t="s">
        <v>365</v>
      </c>
      <c r="C192" s="6">
        <v>0</v>
      </c>
      <c r="D192" s="32"/>
      <c r="E192" s="6">
        <v>0</v>
      </c>
      <c r="F192" s="6"/>
      <c r="G192" s="6">
        <v>0</v>
      </c>
      <c r="H192" s="32"/>
      <c r="I192" s="6">
        <v>0</v>
      </c>
    </row>
    <row r="193" spans="1:9">
      <c r="A193" s="127" t="s">
        <v>352</v>
      </c>
      <c r="B193" s="127" t="s">
        <v>366</v>
      </c>
      <c r="C193" s="6">
        <v>0</v>
      </c>
      <c r="D193" s="32"/>
      <c r="E193" s="6">
        <v>0</v>
      </c>
      <c r="F193" s="6"/>
      <c r="G193" s="6">
        <v>0</v>
      </c>
      <c r="H193" s="32"/>
      <c r="I193" s="6">
        <v>0</v>
      </c>
    </row>
    <row r="194" spans="1:9">
      <c r="A194" s="131" t="s">
        <v>353</v>
      </c>
      <c r="B194" s="131" t="s">
        <v>327</v>
      </c>
      <c r="C194" s="55">
        <v>2047203.03375048</v>
      </c>
      <c r="D194" s="129"/>
      <c r="E194" s="132">
        <v>2047203.03375048</v>
      </c>
      <c r="F194" s="55"/>
      <c r="G194" s="55">
        <v>1923943.5133470499</v>
      </c>
      <c r="H194" s="129"/>
      <c r="I194" s="132">
        <v>1923943.5133470499</v>
      </c>
    </row>
    <row r="195" spans="1:9">
      <c r="A195" s="15"/>
      <c r="B195" s="15"/>
      <c r="C195" s="130">
        <v>8.8475644588470459E-9</v>
      </c>
      <c r="D195" s="15"/>
      <c r="E195" s="130">
        <v>8.8475644588470459E-9</v>
      </c>
      <c r="F195" s="15"/>
      <c r="G195" s="130">
        <v>9.0803951025009155E-9</v>
      </c>
      <c r="H195" s="15"/>
      <c r="I195" s="130">
        <v>9.0803951025009155E-9</v>
      </c>
    </row>
  </sheetData>
  <phoneticPr fontId="0" type="noConversion"/>
  <hyperlinks>
    <hyperlink ref="A163" r:id="rId1"/>
    <hyperlink ref="A161" r:id="rId2"/>
    <hyperlink ref="A162" r:id="rId3"/>
    <hyperlink ref="A164" r:id="rId4"/>
    <hyperlink ref="A165" r:id="rId5"/>
    <hyperlink ref="A166" r:id="rId6"/>
    <hyperlink ref="A167" r:id="rId7"/>
  </hyperlinks>
  <pageMargins left="0" right="0" top="0" bottom="0" header="0" footer="0"/>
  <pageSetup paperSize="9" scale="37" orientation="portrait" horizontalDpi="4294967292" r:id="rId8"/>
  <headerFooter alignWithMargins="0">
    <oddFooter>&amp;C&amp;D&amp;T&amp;R&amp;F&amp;A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H167"/>
  <sheetViews>
    <sheetView zoomScale="75" workbookViewId="0">
      <selection sqref="A1:H1048576"/>
    </sheetView>
  </sheetViews>
  <sheetFormatPr baseColWidth="10" defaultColWidth="9.140625" defaultRowHeight="12.75" outlineLevelRow="1"/>
  <cols>
    <col min="1" max="1" width="13.140625" style="203" customWidth="1"/>
    <col min="2" max="2" width="58.28515625" style="203" bestFit="1" customWidth="1"/>
    <col min="3" max="3" width="14.28515625" style="203" customWidth="1"/>
    <col min="4" max="4" width="10.7109375" style="203" customWidth="1"/>
    <col min="5" max="5" width="14.5703125" style="203" customWidth="1"/>
    <col min="6" max="6" width="13.85546875" style="203" customWidth="1"/>
    <col min="7" max="7" width="10.7109375" style="203" customWidth="1"/>
    <col min="8" max="8" width="14.5703125" style="203" customWidth="1"/>
    <col min="9" max="10" width="9.28515625" style="203" bestFit="1" customWidth="1"/>
    <col min="11" max="16384" width="9.140625" style="203"/>
  </cols>
  <sheetData>
    <row r="1" spans="1:8">
      <c r="A1" s="202"/>
      <c r="C1" s="204"/>
      <c r="D1" s="204"/>
      <c r="E1" s="205"/>
      <c r="F1" s="205"/>
      <c r="G1" s="205"/>
      <c r="H1" s="205"/>
    </row>
    <row r="2" spans="1:8" collapsed="1">
      <c r="B2" s="206"/>
      <c r="C2" s="207"/>
      <c r="D2" s="208"/>
      <c r="E2" s="205"/>
      <c r="F2" s="209"/>
      <c r="G2" s="210"/>
      <c r="H2" s="210"/>
    </row>
    <row r="3" spans="1:8" outlineLevel="1">
      <c r="C3" s="211"/>
      <c r="F3" s="211"/>
    </row>
    <row r="4" spans="1:8" outlineLevel="1">
      <c r="C4" s="212"/>
      <c r="F4" s="212"/>
    </row>
    <row r="5" spans="1:8" outlineLevel="1">
      <c r="C5" s="212"/>
      <c r="F5" s="212"/>
    </row>
    <row r="6" spans="1:8" outlineLevel="1">
      <c r="C6" s="211"/>
      <c r="F6" s="211"/>
    </row>
    <row r="7" spans="1:8" outlineLevel="1">
      <c r="C7" s="211"/>
      <c r="F7" s="211"/>
    </row>
    <row r="8" spans="1:8" outlineLevel="1">
      <c r="C8" s="211"/>
      <c r="F8" s="211"/>
    </row>
    <row r="9" spans="1:8" outlineLevel="1">
      <c r="C9" s="211"/>
      <c r="F9" s="211"/>
    </row>
    <row r="10" spans="1:8" outlineLevel="1">
      <c r="C10" s="211"/>
      <c r="F10" s="211"/>
    </row>
    <row r="11" spans="1:8" outlineLevel="1">
      <c r="C11" s="211"/>
      <c r="F11" s="211"/>
    </row>
    <row r="13" spans="1:8" ht="15.75" customHeight="1" thickBot="1">
      <c r="B13" s="213"/>
      <c r="C13" s="340"/>
      <c r="D13" s="214"/>
      <c r="E13" s="215"/>
      <c r="F13" s="340"/>
      <c r="G13" s="214"/>
      <c r="H13" s="215"/>
    </row>
    <row r="14" spans="1:8" ht="6.75" customHeight="1">
      <c r="B14" s="216"/>
      <c r="C14" s="216"/>
      <c r="D14" s="217"/>
      <c r="E14" s="218"/>
      <c r="F14" s="216"/>
      <c r="G14" s="217"/>
      <c r="H14" s="218"/>
    </row>
    <row r="15" spans="1:8">
      <c r="A15" s="219"/>
      <c r="B15" s="220"/>
      <c r="C15" s="210"/>
      <c r="D15" s="221"/>
      <c r="E15" s="222"/>
      <c r="F15" s="223"/>
      <c r="G15" s="221"/>
      <c r="H15" s="222"/>
    </row>
    <row r="16" spans="1:8">
      <c r="A16" s="224"/>
      <c r="B16" s="216"/>
      <c r="C16" s="216"/>
      <c r="D16" s="225"/>
      <c r="E16" s="218"/>
      <c r="F16" s="216"/>
      <c r="G16" s="225"/>
      <c r="H16" s="218"/>
    </row>
    <row r="17" spans="1:8" outlineLevel="1">
      <c r="A17"/>
      <c r="B17" s="216"/>
      <c r="C17" s="358"/>
      <c r="D17" s="359"/>
      <c r="E17" s="360"/>
      <c r="F17" s="358"/>
      <c r="G17" s="359"/>
      <c r="H17" s="360"/>
    </row>
    <row r="18" spans="1:8" outlineLevel="1">
      <c r="A18"/>
      <c r="B18" s="216"/>
      <c r="C18" s="358"/>
      <c r="D18" s="359"/>
      <c r="E18" s="360"/>
      <c r="F18" s="358"/>
      <c r="G18" s="359"/>
      <c r="H18" s="360"/>
    </row>
    <row r="19" spans="1:8" s="227" customFormat="1">
      <c r="A19" s="20"/>
      <c r="B19" s="226"/>
      <c r="C19" s="361"/>
      <c r="D19" s="362"/>
      <c r="E19" s="363"/>
      <c r="F19" s="361"/>
      <c r="G19" s="362"/>
      <c r="H19" s="363"/>
    </row>
    <row r="20" spans="1:8" outlineLevel="1">
      <c r="A20"/>
      <c r="B20" s="216"/>
      <c r="C20" s="358"/>
      <c r="D20" s="359"/>
      <c r="E20" s="360"/>
      <c r="F20" s="358"/>
      <c r="G20" s="359"/>
      <c r="H20" s="360"/>
    </row>
    <row r="21" spans="1:8" outlineLevel="1">
      <c r="A21"/>
      <c r="B21" s="216"/>
      <c r="C21" s="358"/>
      <c r="D21" s="359"/>
      <c r="E21" s="360"/>
      <c r="F21" s="358"/>
      <c r="G21" s="359"/>
      <c r="H21" s="360"/>
    </row>
    <row r="22" spans="1:8" outlineLevel="1">
      <c r="A22"/>
      <c r="B22" s="216"/>
      <c r="C22" s="358"/>
      <c r="D22" s="359"/>
      <c r="E22" s="360"/>
      <c r="F22" s="358"/>
      <c r="G22" s="359"/>
      <c r="H22" s="360"/>
    </row>
    <row r="23" spans="1:8" outlineLevel="1">
      <c r="A23"/>
      <c r="B23" s="216"/>
      <c r="C23" s="358"/>
      <c r="D23" s="359"/>
      <c r="E23" s="360"/>
      <c r="F23" s="358"/>
      <c r="G23" s="359"/>
      <c r="H23" s="360"/>
    </row>
    <row r="24" spans="1:8" outlineLevel="1">
      <c r="A24"/>
      <c r="B24" s="216"/>
      <c r="C24" s="358"/>
      <c r="D24" s="359"/>
      <c r="E24" s="360"/>
      <c r="F24" s="358"/>
      <c r="G24" s="359"/>
      <c r="H24" s="360"/>
    </row>
    <row r="25" spans="1:8" outlineLevel="1">
      <c r="A25"/>
      <c r="B25" s="216"/>
      <c r="C25" s="358"/>
      <c r="D25" s="359"/>
      <c r="E25" s="360"/>
      <c r="F25" s="358"/>
      <c r="G25" s="359"/>
      <c r="H25" s="360"/>
    </row>
    <row r="26" spans="1:8" outlineLevel="1">
      <c r="A26"/>
      <c r="B26" s="216"/>
      <c r="C26" s="358"/>
      <c r="D26" s="359"/>
      <c r="E26" s="360"/>
      <c r="F26" s="358"/>
      <c r="G26" s="359"/>
      <c r="H26" s="360"/>
    </row>
    <row r="27" spans="1:8" outlineLevel="1">
      <c r="A27"/>
      <c r="B27" s="216"/>
      <c r="C27" s="358"/>
      <c r="D27" s="359"/>
      <c r="E27" s="360"/>
      <c r="F27" s="358"/>
      <c r="G27" s="359"/>
      <c r="H27" s="360"/>
    </row>
    <row r="28" spans="1:8" outlineLevel="1">
      <c r="A28"/>
      <c r="B28" s="216"/>
      <c r="C28" s="358"/>
      <c r="D28" s="359"/>
      <c r="E28" s="360"/>
      <c r="F28" s="358"/>
      <c r="G28" s="359"/>
      <c r="H28" s="360"/>
    </row>
    <row r="29" spans="1:8" outlineLevel="1">
      <c r="A29"/>
      <c r="B29" s="216"/>
      <c r="C29" s="358"/>
      <c r="D29" s="359"/>
      <c r="E29" s="360"/>
      <c r="F29" s="358"/>
      <c r="G29" s="359"/>
      <c r="H29" s="360"/>
    </row>
    <row r="30" spans="1:8" outlineLevel="1">
      <c r="A30"/>
      <c r="B30" s="216"/>
      <c r="C30" s="358"/>
      <c r="D30" s="359"/>
      <c r="E30" s="360"/>
      <c r="F30" s="358"/>
      <c r="G30" s="359"/>
      <c r="H30" s="360"/>
    </row>
    <row r="31" spans="1:8" outlineLevel="1">
      <c r="A31"/>
      <c r="B31" s="216"/>
      <c r="C31" s="358"/>
      <c r="D31" s="359"/>
      <c r="E31" s="360"/>
      <c r="F31" s="358"/>
      <c r="G31" s="359"/>
      <c r="H31" s="360"/>
    </row>
    <row r="32" spans="1:8" outlineLevel="1">
      <c r="A32"/>
      <c r="B32" s="216"/>
      <c r="C32" s="358"/>
      <c r="D32" s="359"/>
      <c r="E32" s="360"/>
      <c r="F32" s="358"/>
      <c r="G32" s="359"/>
      <c r="H32" s="360"/>
    </row>
    <row r="33" spans="1:8" outlineLevel="1">
      <c r="A33"/>
      <c r="B33" s="216"/>
      <c r="C33" s="358"/>
      <c r="D33" s="359"/>
      <c r="E33" s="360"/>
      <c r="F33" s="358"/>
      <c r="G33" s="359"/>
      <c r="H33" s="360"/>
    </row>
    <row r="34" spans="1:8" outlineLevel="1">
      <c r="A34"/>
      <c r="B34" s="216"/>
      <c r="C34" s="358"/>
      <c r="D34" s="359"/>
      <c r="E34" s="360"/>
      <c r="F34" s="358"/>
      <c r="G34" s="359"/>
      <c r="H34" s="360"/>
    </row>
    <row r="35" spans="1:8" outlineLevel="1">
      <c r="A35"/>
      <c r="B35" s="216"/>
      <c r="C35" s="358"/>
      <c r="D35" s="359"/>
      <c r="E35" s="360"/>
      <c r="F35" s="358"/>
      <c r="G35" s="359"/>
      <c r="H35" s="360"/>
    </row>
    <row r="36" spans="1:8" outlineLevel="1">
      <c r="A36"/>
      <c r="B36" s="216"/>
      <c r="C36" s="358"/>
      <c r="D36" s="359"/>
      <c r="E36" s="360"/>
      <c r="F36" s="358"/>
      <c r="G36" s="359"/>
      <c r="H36" s="360"/>
    </row>
    <row r="37" spans="1:8" s="227" customFormat="1">
      <c r="A37" s="20"/>
      <c r="B37" s="226"/>
      <c r="C37" s="361"/>
      <c r="D37" s="362"/>
      <c r="E37" s="363"/>
      <c r="F37" s="361"/>
      <c r="G37" s="362"/>
      <c r="H37" s="363"/>
    </row>
    <row r="38" spans="1:8" outlineLevel="1">
      <c r="A38"/>
      <c r="B38" s="216"/>
      <c r="C38" s="358"/>
      <c r="D38" s="359"/>
      <c r="E38" s="360"/>
      <c r="F38" s="358"/>
      <c r="G38" s="359"/>
      <c r="H38" s="360"/>
    </row>
    <row r="39" spans="1:8" outlineLevel="1">
      <c r="A39"/>
      <c r="B39" s="216"/>
      <c r="C39" s="358"/>
      <c r="D39" s="359"/>
      <c r="E39" s="360"/>
      <c r="F39" s="358"/>
      <c r="G39" s="359"/>
      <c r="H39" s="360"/>
    </row>
    <row r="40" spans="1:8" outlineLevel="1">
      <c r="A40"/>
      <c r="B40" s="216"/>
      <c r="C40" s="358"/>
      <c r="D40" s="359"/>
      <c r="E40" s="360"/>
      <c r="F40" s="358"/>
      <c r="G40" s="359"/>
      <c r="H40" s="360"/>
    </row>
    <row r="41" spans="1:8" outlineLevel="1">
      <c r="A41"/>
      <c r="B41" s="216"/>
      <c r="C41" s="358"/>
      <c r="D41" s="359"/>
      <c r="E41" s="360"/>
      <c r="F41" s="358"/>
      <c r="G41" s="359"/>
      <c r="H41" s="360"/>
    </row>
    <row r="42" spans="1:8" outlineLevel="1">
      <c r="A42"/>
      <c r="B42" s="216"/>
      <c r="C42" s="358"/>
      <c r="D42" s="359"/>
      <c r="E42" s="360"/>
      <c r="F42" s="358"/>
      <c r="G42" s="359"/>
      <c r="H42" s="360"/>
    </row>
    <row r="43" spans="1:8" outlineLevel="1">
      <c r="A43"/>
      <c r="B43" s="216"/>
      <c r="C43" s="358"/>
      <c r="D43" s="359"/>
      <c r="E43" s="360"/>
      <c r="F43" s="358"/>
      <c r="G43" s="359"/>
      <c r="H43" s="360"/>
    </row>
    <row r="44" spans="1:8" outlineLevel="1">
      <c r="A44"/>
      <c r="B44" s="216"/>
      <c r="C44" s="358"/>
      <c r="D44" s="359"/>
      <c r="E44" s="360"/>
      <c r="F44" s="358"/>
      <c r="G44" s="359"/>
      <c r="H44" s="360"/>
    </row>
    <row r="45" spans="1:8" outlineLevel="1">
      <c r="A45"/>
      <c r="B45" s="216"/>
      <c r="C45" s="358"/>
      <c r="D45" s="359"/>
      <c r="E45" s="360"/>
      <c r="F45" s="358"/>
      <c r="G45" s="359"/>
      <c r="H45" s="360"/>
    </row>
    <row r="46" spans="1:8" outlineLevel="1">
      <c r="A46"/>
      <c r="B46" s="216"/>
      <c r="C46" s="358"/>
      <c r="D46" s="359"/>
      <c r="E46" s="360"/>
      <c r="F46" s="358"/>
      <c r="G46" s="359"/>
      <c r="H46" s="360"/>
    </row>
    <row r="47" spans="1:8" outlineLevel="1">
      <c r="A47"/>
      <c r="B47" s="216"/>
      <c r="C47" s="358"/>
      <c r="D47" s="359"/>
      <c r="E47" s="360"/>
      <c r="F47" s="358"/>
      <c r="G47" s="359"/>
      <c r="H47" s="360"/>
    </row>
    <row r="48" spans="1:8" s="227" customFormat="1">
      <c r="A48" s="20"/>
      <c r="B48" s="226"/>
      <c r="C48" s="361"/>
      <c r="D48" s="362"/>
      <c r="E48" s="363"/>
      <c r="F48" s="361"/>
      <c r="G48" s="362"/>
      <c r="H48" s="363"/>
    </row>
    <row r="49" spans="1:8" outlineLevel="1">
      <c r="A49"/>
      <c r="B49" s="228"/>
      <c r="C49" s="358"/>
      <c r="D49" s="359"/>
      <c r="E49" s="360"/>
      <c r="F49" s="358"/>
      <c r="G49" s="359"/>
      <c r="H49" s="360"/>
    </row>
    <row r="50" spans="1:8" outlineLevel="1">
      <c r="A50"/>
      <c r="B50" s="228"/>
      <c r="C50" s="358"/>
      <c r="D50" s="359"/>
      <c r="E50" s="360"/>
      <c r="F50" s="358"/>
      <c r="G50" s="359"/>
      <c r="H50" s="360"/>
    </row>
    <row r="51" spans="1:8" outlineLevel="1">
      <c r="A51"/>
      <c r="B51" s="228"/>
      <c r="C51" s="358"/>
      <c r="D51" s="359"/>
      <c r="E51" s="360"/>
      <c r="F51" s="358"/>
      <c r="G51" s="359"/>
      <c r="H51" s="360"/>
    </row>
    <row r="52" spans="1:8" outlineLevel="1">
      <c r="A52"/>
      <c r="B52" s="228"/>
      <c r="C52" s="358"/>
      <c r="D52" s="359"/>
      <c r="E52" s="360"/>
      <c r="F52" s="358"/>
      <c r="G52" s="359"/>
      <c r="H52" s="360"/>
    </row>
    <row r="53" spans="1:8" outlineLevel="1">
      <c r="A53"/>
      <c r="B53" s="228"/>
      <c r="C53" s="358"/>
      <c r="D53" s="359"/>
      <c r="E53" s="360"/>
      <c r="F53" s="358"/>
      <c r="G53" s="359"/>
      <c r="H53" s="360"/>
    </row>
    <row r="54" spans="1:8" outlineLevel="1">
      <c r="A54"/>
      <c r="B54" s="228"/>
      <c r="C54" s="358"/>
      <c r="D54" s="359"/>
      <c r="E54" s="360"/>
      <c r="F54" s="358"/>
      <c r="G54" s="359"/>
      <c r="H54" s="360"/>
    </row>
    <row r="55" spans="1:8" s="227" customFormat="1">
      <c r="A55" s="20"/>
      <c r="B55" s="229"/>
      <c r="C55" s="361"/>
      <c r="D55" s="362"/>
      <c r="E55" s="363"/>
      <c r="F55" s="361"/>
      <c r="G55" s="362"/>
      <c r="H55" s="363"/>
    </row>
    <row r="56" spans="1:8" outlineLevel="1">
      <c r="A56"/>
      <c r="B56" s="228"/>
      <c r="C56" s="358"/>
      <c r="D56" s="359"/>
      <c r="E56" s="360"/>
      <c r="F56" s="358"/>
      <c r="G56" s="359"/>
      <c r="H56" s="360"/>
    </row>
    <row r="57" spans="1:8" s="227" customFormat="1">
      <c r="A57" s="20"/>
      <c r="B57" s="229"/>
      <c r="C57" s="361"/>
      <c r="D57" s="362"/>
      <c r="E57" s="363"/>
      <c r="F57" s="361"/>
      <c r="G57" s="362"/>
      <c r="H57" s="363"/>
    </row>
    <row r="58" spans="1:8" outlineLevel="1">
      <c r="A58"/>
      <c r="B58" s="228"/>
      <c r="C58" s="358"/>
      <c r="D58" s="359"/>
      <c r="E58" s="360"/>
      <c r="F58" s="358"/>
      <c r="G58" s="359"/>
      <c r="H58" s="360"/>
    </row>
    <row r="59" spans="1:8" outlineLevel="1">
      <c r="A59"/>
      <c r="B59" s="228"/>
      <c r="C59" s="358"/>
      <c r="D59" s="359"/>
      <c r="E59" s="360"/>
      <c r="F59" s="358"/>
      <c r="G59" s="359"/>
      <c r="H59" s="360"/>
    </row>
    <row r="60" spans="1:8" outlineLevel="1">
      <c r="A60"/>
      <c r="B60" s="228"/>
      <c r="C60" s="358"/>
      <c r="D60" s="359"/>
      <c r="E60" s="360"/>
      <c r="F60" s="358"/>
      <c r="G60" s="359"/>
      <c r="H60" s="360"/>
    </row>
    <row r="61" spans="1:8" outlineLevel="1">
      <c r="A61"/>
      <c r="B61" s="228"/>
      <c r="C61" s="358"/>
      <c r="D61" s="359"/>
      <c r="E61" s="360"/>
      <c r="F61" s="358"/>
      <c r="G61" s="359"/>
      <c r="H61" s="360"/>
    </row>
    <row r="62" spans="1:8" outlineLevel="1">
      <c r="A62"/>
      <c r="B62" s="228"/>
      <c r="C62" s="358"/>
      <c r="D62" s="359"/>
      <c r="E62" s="360"/>
      <c r="F62" s="358"/>
      <c r="G62" s="359"/>
      <c r="H62" s="360"/>
    </row>
    <row r="63" spans="1:8" outlineLevel="1">
      <c r="A63"/>
      <c r="B63" s="228"/>
      <c r="C63" s="358"/>
      <c r="D63" s="359"/>
      <c r="E63" s="360"/>
      <c r="F63" s="358"/>
      <c r="G63" s="359"/>
      <c r="H63" s="360"/>
    </row>
    <row r="64" spans="1:8" outlineLevel="1">
      <c r="A64"/>
      <c r="B64" s="228"/>
      <c r="C64" s="358"/>
      <c r="D64" s="359"/>
      <c r="E64" s="360"/>
      <c r="F64" s="358"/>
      <c r="G64" s="359"/>
      <c r="H64" s="360"/>
    </row>
    <row r="65" spans="1:8" s="227" customFormat="1">
      <c r="A65" s="20"/>
      <c r="B65" s="229"/>
      <c r="C65" s="361"/>
      <c r="D65" s="362"/>
      <c r="E65" s="363"/>
      <c r="F65" s="361"/>
      <c r="G65" s="362"/>
      <c r="H65" s="363"/>
    </row>
    <row r="66" spans="1:8" outlineLevel="1">
      <c r="A66"/>
      <c r="B66" s="228"/>
      <c r="C66" s="358"/>
      <c r="D66" s="359"/>
      <c r="E66" s="360"/>
      <c r="F66" s="358"/>
      <c r="G66" s="359"/>
      <c r="H66" s="360"/>
    </row>
    <row r="67" spans="1:8" s="227" customFormat="1">
      <c r="A67" s="20"/>
      <c r="B67" s="229"/>
      <c r="C67" s="361"/>
      <c r="D67" s="362"/>
      <c r="E67" s="363"/>
      <c r="F67" s="361"/>
      <c r="G67" s="362"/>
      <c r="H67" s="363"/>
    </row>
    <row r="68" spans="1:8" outlineLevel="1">
      <c r="A68"/>
      <c r="B68" s="228"/>
      <c r="C68" s="358"/>
      <c r="D68" s="359"/>
      <c r="E68" s="360"/>
      <c r="F68" s="358"/>
      <c r="G68" s="359"/>
      <c r="H68" s="360"/>
    </row>
    <row r="69" spans="1:8" s="227" customFormat="1">
      <c r="A69" s="20"/>
      <c r="B69" s="230"/>
      <c r="C69" s="361"/>
      <c r="D69" s="362"/>
      <c r="E69" s="363"/>
      <c r="F69" s="361"/>
      <c r="G69" s="362"/>
      <c r="H69" s="363"/>
    </row>
    <row r="70" spans="1:8" s="227" customFormat="1">
      <c r="A70" s="20"/>
      <c r="B70" s="226"/>
      <c r="C70" s="361"/>
      <c r="D70" s="362"/>
      <c r="E70" s="363"/>
      <c r="F70" s="361"/>
      <c r="G70" s="362"/>
      <c r="H70" s="363"/>
    </row>
    <row r="71" spans="1:8" outlineLevel="1">
      <c r="A71"/>
      <c r="B71" s="216"/>
      <c r="C71" s="358"/>
      <c r="D71" s="359"/>
      <c r="E71" s="360"/>
      <c r="F71" s="358"/>
      <c r="G71" s="359"/>
      <c r="H71" s="360"/>
    </row>
    <row r="72" spans="1:8" outlineLevel="1">
      <c r="A72"/>
      <c r="B72" s="216"/>
      <c r="C72" s="358"/>
      <c r="D72" s="359"/>
      <c r="E72" s="360"/>
      <c r="F72" s="358"/>
      <c r="G72" s="359"/>
      <c r="H72" s="360"/>
    </row>
    <row r="73" spans="1:8" outlineLevel="1">
      <c r="A73"/>
      <c r="B73" s="216"/>
      <c r="C73" s="358"/>
      <c r="D73" s="359"/>
      <c r="E73" s="360"/>
      <c r="F73" s="358"/>
      <c r="G73" s="359"/>
      <c r="H73" s="360"/>
    </row>
    <row r="74" spans="1:8" outlineLevel="1">
      <c r="A74"/>
      <c r="B74" s="216"/>
      <c r="C74" s="358"/>
      <c r="D74" s="359"/>
      <c r="E74" s="360"/>
      <c r="F74" s="358"/>
      <c r="G74" s="359"/>
      <c r="H74" s="360"/>
    </row>
    <row r="75" spans="1:8" s="227" customFormat="1">
      <c r="A75" s="20"/>
      <c r="B75" s="230"/>
      <c r="C75" s="361"/>
      <c r="D75" s="362"/>
      <c r="E75" s="363"/>
      <c r="F75" s="361"/>
      <c r="G75" s="362"/>
      <c r="H75" s="363"/>
    </row>
    <row r="76" spans="1:8" outlineLevel="1">
      <c r="A76"/>
      <c r="B76" s="231"/>
      <c r="C76" s="358"/>
      <c r="D76" s="359"/>
      <c r="E76" s="360"/>
      <c r="F76" s="358"/>
      <c r="G76" s="359"/>
      <c r="H76" s="360"/>
    </row>
    <row r="77" spans="1:8" outlineLevel="1">
      <c r="A77"/>
      <c r="B77" s="231"/>
      <c r="C77" s="358"/>
      <c r="D77" s="359"/>
      <c r="E77" s="360"/>
      <c r="F77" s="358"/>
      <c r="G77" s="359"/>
      <c r="H77" s="360"/>
    </row>
    <row r="78" spans="1:8" outlineLevel="1">
      <c r="A78"/>
      <c r="B78" s="231"/>
      <c r="C78" s="358"/>
      <c r="D78" s="359"/>
      <c r="E78" s="360"/>
      <c r="F78" s="358"/>
      <c r="G78" s="359"/>
      <c r="H78" s="360"/>
    </row>
    <row r="79" spans="1:8" outlineLevel="1">
      <c r="A79"/>
      <c r="B79" s="231"/>
      <c r="C79" s="358"/>
      <c r="D79" s="359"/>
      <c r="E79" s="360"/>
      <c r="F79" s="358"/>
      <c r="G79" s="359"/>
      <c r="H79" s="360"/>
    </row>
    <row r="80" spans="1:8" outlineLevel="1">
      <c r="A80" s="388"/>
      <c r="B80" s="389"/>
      <c r="C80" s="358"/>
      <c r="D80" s="359"/>
      <c r="E80" s="360"/>
      <c r="F80" s="358"/>
      <c r="G80" s="359"/>
      <c r="H80" s="360"/>
    </row>
    <row r="81" spans="1:8" outlineLevel="1">
      <c r="A81" s="388"/>
      <c r="B81" s="389"/>
      <c r="C81" s="358"/>
      <c r="D81" s="359"/>
      <c r="E81" s="360"/>
      <c r="F81" s="358"/>
      <c r="G81" s="359"/>
      <c r="H81" s="360"/>
    </row>
    <row r="82" spans="1:8" outlineLevel="1">
      <c r="A82"/>
      <c r="B82" s="231"/>
      <c r="C82" s="358"/>
      <c r="D82" s="359"/>
      <c r="E82" s="360"/>
      <c r="F82" s="358"/>
      <c r="G82" s="359"/>
      <c r="H82" s="360"/>
    </row>
    <row r="83" spans="1:8" outlineLevel="1">
      <c r="A83"/>
      <c r="B83" s="231"/>
      <c r="C83" s="358"/>
      <c r="D83" s="359"/>
      <c r="E83" s="360"/>
      <c r="F83" s="358"/>
      <c r="G83" s="359"/>
      <c r="H83" s="360"/>
    </row>
    <row r="84" spans="1:8" s="227" customFormat="1">
      <c r="A84" s="20"/>
      <c r="B84" s="230"/>
      <c r="C84" s="361"/>
      <c r="D84" s="362"/>
      <c r="E84" s="363"/>
      <c r="F84" s="361"/>
      <c r="G84" s="362"/>
      <c r="H84" s="363"/>
    </row>
    <row r="85" spans="1:8" outlineLevel="1">
      <c r="A85"/>
      <c r="B85" s="231"/>
      <c r="C85" s="358"/>
      <c r="D85" s="359"/>
      <c r="E85" s="360"/>
      <c r="F85" s="358"/>
      <c r="G85" s="359"/>
      <c r="H85" s="360"/>
    </row>
    <row r="86" spans="1:8" outlineLevel="1">
      <c r="A86"/>
      <c r="B86" s="231"/>
      <c r="C86" s="358"/>
      <c r="D86" s="359"/>
      <c r="E86" s="360"/>
      <c r="F86" s="358"/>
      <c r="G86" s="359"/>
      <c r="H86" s="360"/>
    </row>
    <row r="87" spans="1:8" outlineLevel="1">
      <c r="A87"/>
      <c r="B87" s="231"/>
      <c r="C87" s="358"/>
      <c r="D87" s="359"/>
      <c r="E87" s="360"/>
      <c r="F87" s="358"/>
      <c r="G87" s="359"/>
      <c r="H87" s="360"/>
    </row>
    <row r="88" spans="1:8" outlineLevel="1">
      <c r="A88"/>
      <c r="B88" s="231"/>
      <c r="C88" s="358"/>
      <c r="D88" s="359"/>
      <c r="E88" s="360"/>
      <c r="F88" s="358"/>
      <c r="G88" s="359"/>
      <c r="H88" s="360"/>
    </row>
    <row r="89" spans="1:8" outlineLevel="1">
      <c r="A89"/>
      <c r="B89" s="231"/>
      <c r="C89" s="358"/>
      <c r="D89" s="359"/>
      <c r="E89" s="360"/>
      <c r="F89" s="358"/>
      <c r="G89" s="359"/>
      <c r="H89" s="360"/>
    </row>
    <row r="90" spans="1:8" outlineLevel="1">
      <c r="A90"/>
      <c r="B90" s="231"/>
      <c r="C90" s="358"/>
      <c r="D90" s="359"/>
      <c r="E90" s="360"/>
      <c r="F90" s="358"/>
      <c r="G90" s="359"/>
      <c r="H90" s="360"/>
    </row>
    <row r="91" spans="1:8" outlineLevel="1">
      <c r="A91"/>
      <c r="B91" s="231"/>
      <c r="C91" s="358"/>
      <c r="D91" s="359"/>
      <c r="E91" s="360"/>
      <c r="F91" s="358"/>
      <c r="G91" s="359"/>
      <c r="H91" s="360"/>
    </row>
    <row r="92" spans="1:8" outlineLevel="1">
      <c r="A92"/>
      <c r="B92" s="231"/>
      <c r="C92" s="358"/>
      <c r="D92" s="359"/>
      <c r="E92" s="360"/>
      <c r="F92" s="358"/>
      <c r="G92" s="359"/>
      <c r="H92" s="360"/>
    </row>
    <row r="93" spans="1:8" outlineLevel="1">
      <c r="A93"/>
      <c r="B93" s="231"/>
      <c r="C93" s="358"/>
      <c r="D93" s="359"/>
      <c r="E93" s="360"/>
      <c r="F93" s="358"/>
      <c r="G93" s="359"/>
      <c r="H93" s="360"/>
    </row>
    <row r="94" spans="1:8" outlineLevel="1">
      <c r="A94"/>
      <c r="B94" s="231"/>
      <c r="C94" s="358"/>
      <c r="D94" s="359"/>
      <c r="E94" s="360"/>
      <c r="F94" s="358"/>
      <c r="G94" s="359"/>
      <c r="H94" s="360"/>
    </row>
    <row r="95" spans="1:8" outlineLevel="1">
      <c r="A95"/>
      <c r="B95" s="231"/>
      <c r="C95" s="358"/>
      <c r="D95" s="359"/>
      <c r="E95" s="360"/>
      <c r="F95" s="358"/>
      <c r="G95" s="359"/>
      <c r="H95" s="360"/>
    </row>
    <row r="96" spans="1:8" s="227" customFormat="1">
      <c r="A96" s="20"/>
      <c r="B96" s="230"/>
      <c r="C96" s="361"/>
      <c r="D96" s="362"/>
      <c r="E96" s="363"/>
      <c r="F96" s="361"/>
      <c r="G96" s="362"/>
      <c r="H96" s="363"/>
    </row>
    <row r="97" spans="1:8" s="227" customFormat="1">
      <c r="A97" s="20"/>
      <c r="B97" s="226"/>
      <c r="C97" s="361"/>
      <c r="D97" s="362"/>
      <c r="E97" s="363"/>
      <c r="F97" s="361"/>
      <c r="G97" s="362"/>
      <c r="H97" s="363"/>
    </row>
    <row r="98" spans="1:8" outlineLevel="1">
      <c r="A98"/>
      <c r="B98" s="216"/>
      <c r="C98" s="358"/>
      <c r="D98" s="359"/>
      <c r="E98" s="360"/>
      <c r="F98" s="358"/>
      <c r="G98" s="359"/>
      <c r="H98" s="360"/>
    </row>
    <row r="99" spans="1:8" outlineLevel="1">
      <c r="A99"/>
      <c r="B99" s="216"/>
      <c r="C99" s="358"/>
      <c r="D99" s="359"/>
      <c r="E99" s="360"/>
      <c r="F99" s="358"/>
      <c r="G99" s="359"/>
      <c r="H99" s="360"/>
    </row>
    <row r="100" spans="1:8" outlineLevel="1">
      <c r="A100"/>
      <c r="B100" s="216"/>
      <c r="C100" s="358"/>
      <c r="D100" s="359"/>
      <c r="E100" s="360"/>
      <c r="F100" s="358"/>
      <c r="G100" s="359"/>
      <c r="H100" s="360"/>
    </row>
    <row r="101" spans="1:8" s="227" customFormat="1">
      <c r="A101" s="20"/>
      <c r="B101" s="230"/>
      <c r="C101" s="361"/>
      <c r="D101" s="362"/>
      <c r="E101" s="363"/>
      <c r="F101" s="361"/>
      <c r="G101" s="362"/>
      <c r="H101" s="363"/>
    </row>
    <row r="102" spans="1:8" outlineLevel="1">
      <c r="A102"/>
      <c r="B102" s="231"/>
      <c r="C102" s="358"/>
      <c r="D102" s="359"/>
      <c r="E102" s="360"/>
      <c r="F102" s="358"/>
      <c r="G102" s="359"/>
      <c r="H102" s="360"/>
    </row>
    <row r="103" spans="1:8" outlineLevel="1">
      <c r="A103"/>
      <c r="B103" s="231"/>
      <c r="C103" s="358"/>
      <c r="D103" s="359"/>
      <c r="E103" s="360"/>
      <c r="F103" s="358"/>
      <c r="G103" s="359"/>
      <c r="H103" s="360"/>
    </row>
    <row r="104" spans="1:8" outlineLevel="1">
      <c r="A104"/>
      <c r="B104" s="231"/>
      <c r="C104" s="358"/>
      <c r="D104" s="359"/>
      <c r="E104" s="360"/>
      <c r="F104" s="358"/>
      <c r="G104" s="359"/>
      <c r="H104" s="360"/>
    </row>
    <row r="105" spans="1:8" outlineLevel="1">
      <c r="A105"/>
      <c r="B105" s="231"/>
      <c r="C105" s="358"/>
      <c r="D105" s="359"/>
      <c r="E105" s="360"/>
      <c r="F105" s="358"/>
      <c r="G105" s="359"/>
      <c r="H105" s="360"/>
    </row>
    <row r="106" spans="1:8" outlineLevel="1">
      <c r="A106"/>
      <c r="B106" s="231"/>
      <c r="C106" s="358"/>
      <c r="D106" s="359"/>
      <c r="E106" s="360"/>
      <c r="F106" s="358"/>
      <c r="G106" s="359"/>
      <c r="H106" s="360"/>
    </row>
    <row r="107" spans="1:8" outlineLevel="1">
      <c r="A107" s="388"/>
      <c r="B107" s="389"/>
      <c r="C107" s="358"/>
      <c r="D107" s="359"/>
      <c r="E107" s="360"/>
      <c r="F107" s="358"/>
      <c r="G107" s="359"/>
      <c r="H107" s="360"/>
    </row>
    <row r="108" spans="1:8" outlineLevel="1">
      <c r="A108" s="390"/>
      <c r="B108" s="389"/>
      <c r="C108" s="358"/>
      <c r="D108" s="359"/>
      <c r="E108" s="360"/>
      <c r="F108" s="358"/>
      <c r="G108" s="359"/>
      <c r="H108" s="360"/>
    </row>
    <row r="109" spans="1:8" outlineLevel="1">
      <c r="A109" s="388"/>
      <c r="B109" s="389"/>
      <c r="C109" s="358"/>
      <c r="D109" s="359"/>
      <c r="E109" s="360"/>
      <c r="F109" s="358"/>
      <c r="G109" s="359"/>
      <c r="H109" s="360"/>
    </row>
    <row r="110" spans="1:8" outlineLevel="1">
      <c r="A110"/>
      <c r="B110" s="231"/>
      <c r="C110" s="358"/>
      <c r="D110" s="359"/>
      <c r="E110" s="360"/>
      <c r="F110" s="358"/>
      <c r="G110" s="359"/>
      <c r="H110" s="360"/>
    </row>
    <row r="111" spans="1:8" s="227" customFormat="1">
      <c r="A111" s="20"/>
      <c r="B111" s="230"/>
      <c r="C111" s="361"/>
      <c r="D111" s="362"/>
      <c r="E111" s="363"/>
      <c r="F111" s="361"/>
      <c r="G111" s="362"/>
      <c r="H111" s="363"/>
    </row>
    <row r="112" spans="1:8" outlineLevel="1">
      <c r="A112"/>
      <c r="B112" s="231"/>
      <c r="C112" s="358"/>
      <c r="D112" s="359"/>
      <c r="E112" s="360"/>
      <c r="F112" s="358"/>
      <c r="G112" s="359"/>
      <c r="H112" s="360"/>
    </row>
    <row r="113" spans="1:8" outlineLevel="1">
      <c r="A113"/>
      <c r="B113" s="231"/>
      <c r="C113" s="358"/>
      <c r="D113" s="359"/>
      <c r="E113" s="360"/>
      <c r="F113" s="358"/>
      <c r="G113" s="359"/>
      <c r="H113" s="360"/>
    </row>
    <row r="114" spans="1:8" outlineLevel="1">
      <c r="A114"/>
      <c r="B114" s="231"/>
      <c r="C114" s="358"/>
      <c r="D114" s="359"/>
      <c r="E114" s="360"/>
      <c r="F114" s="358"/>
      <c r="G114" s="359"/>
      <c r="H114" s="360"/>
    </row>
    <row r="115" spans="1:8" outlineLevel="1">
      <c r="A115"/>
      <c r="B115" s="231"/>
      <c r="C115" s="358"/>
      <c r="D115" s="359"/>
      <c r="E115" s="360"/>
      <c r="F115" s="358"/>
      <c r="G115" s="359"/>
      <c r="H115" s="360"/>
    </row>
    <row r="116" spans="1:8" outlineLevel="1">
      <c r="A116"/>
      <c r="B116" s="231"/>
      <c r="C116" s="358"/>
      <c r="D116" s="359"/>
      <c r="E116" s="360"/>
      <c r="F116" s="358"/>
      <c r="G116" s="359"/>
      <c r="H116" s="360"/>
    </row>
    <row r="117" spans="1:8" outlineLevel="1">
      <c r="A117"/>
      <c r="B117" s="231"/>
      <c r="C117" s="358"/>
      <c r="D117" s="359"/>
      <c r="E117" s="360"/>
      <c r="F117" s="358"/>
      <c r="G117" s="359"/>
      <c r="H117" s="360"/>
    </row>
    <row r="118" spans="1:8" outlineLevel="1">
      <c r="A118"/>
      <c r="B118" s="231"/>
      <c r="C118" s="358"/>
      <c r="D118" s="359"/>
      <c r="E118" s="360"/>
      <c r="F118" s="358"/>
      <c r="G118" s="359"/>
      <c r="H118" s="360"/>
    </row>
    <row r="119" spans="1:8" outlineLevel="1">
      <c r="A119"/>
      <c r="B119" s="231"/>
      <c r="C119" s="358"/>
      <c r="D119" s="359"/>
      <c r="E119" s="360"/>
      <c r="F119" s="358"/>
      <c r="G119" s="359"/>
      <c r="H119" s="360"/>
    </row>
    <row r="120" spans="1:8" s="227" customFormat="1">
      <c r="A120" s="20"/>
      <c r="B120" s="230"/>
      <c r="C120" s="361"/>
      <c r="D120" s="362"/>
      <c r="E120" s="363"/>
      <c r="F120" s="361"/>
      <c r="G120" s="362"/>
      <c r="H120" s="363"/>
    </row>
    <row r="121" spans="1:8" s="227" customFormat="1">
      <c r="A121" s="20"/>
      <c r="B121" s="226"/>
      <c r="C121" s="361"/>
      <c r="D121" s="362"/>
      <c r="E121" s="363"/>
      <c r="F121" s="361"/>
      <c r="G121" s="362"/>
      <c r="H121" s="363"/>
    </row>
    <row r="122" spans="1:8" ht="6.75" customHeight="1" collapsed="1">
      <c r="A122" s="232"/>
      <c r="B122" s="217"/>
      <c r="C122" s="364"/>
      <c r="D122" s="365"/>
      <c r="E122" s="360"/>
      <c r="F122" s="364"/>
      <c r="G122" s="365"/>
      <c r="H122" s="360"/>
    </row>
    <row r="123" spans="1:8" s="227" customFormat="1" ht="13.5" customHeight="1">
      <c r="A123" s="233"/>
      <c r="B123" s="234"/>
      <c r="C123" s="366"/>
      <c r="D123" s="367"/>
      <c r="E123" s="368"/>
      <c r="F123" s="366"/>
      <c r="G123" s="367"/>
      <c r="H123" s="368"/>
    </row>
    <row r="124" spans="1:8">
      <c r="B124" s="235"/>
      <c r="C124" s="364"/>
      <c r="D124" s="364"/>
      <c r="E124" s="364"/>
      <c r="F124" s="364"/>
      <c r="G124" s="364"/>
      <c r="H124" s="364"/>
    </row>
    <row r="125" spans="1:8" s="227" customFormat="1" ht="13.5" customHeight="1">
      <c r="A125" s="233"/>
      <c r="B125" s="234"/>
      <c r="C125" s="366"/>
      <c r="D125" s="367"/>
      <c r="E125" s="368"/>
      <c r="F125" s="366"/>
      <c r="G125" s="367"/>
      <c r="H125" s="368"/>
    </row>
    <row r="126" spans="1:8">
      <c r="C126" s="369"/>
      <c r="D126" s="369"/>
      <c r="E126" s="369"/>
      <c r="F126" s="369"/>
      <c r="G126" s="369"/>
      <c r="H126" s="369"/>
    </row>
    <row r="127" spans="1:8">
      <c r="C127" s="369"/>
      <c r="D127" s="369"/>
      <c r="E127" s="369"/>
      <c r="F127" s="369"/>
      <c r="G127" s="369"/>
      <c r="H127" s="369"/>
    </row>
    <row r="128" spans="1:8">
      <c r="C128" s="369"/>
      <c r="D128" s="369"/>
      <c r="E128" s="369"/>
      <c r="F128" s="369"/>
      <c r="G128" s="370"/>
      <c r="H128" s="369"/>
    </row>
    <row r="129" spans="1:8" outlineLevel="1">
      <c r="A129"/>
      <c r="B129" s="216"/>
      <c r="C129" s="358"/>
      <c r="D129" s="359"/>
      <c r="E129" s="360"/>
      <c r="F129" s="358"/>
      <c r="G129" s="359"/>
      <c r="H129" s="360"/>
    </row>
    <row r="130" spans="1:8" outlineLevel="1">
      <c r="A130"/>
      <c r="B130" s="216"/>
      <c r="C130" s="358"/>
      <c r="D130" s="359"/>
      <c r="E130" s="360"/>
      <c r="F130" s="358"/>
      <c r="G130" s="359"/>
      <c r="H130" s="360"/>
    </row>
    <row r="131" spans="1:8" s="227" customFormat="1">
      <c r="C131" s="361"/>
      <c r="D131" s="362"/>
      <c r="E131" s="363"/>
      <c r="F131" s="361"/>
      <c r="G131" s="362"/>
      <c r="H131" s="363"/>
    </row>
    <row r="132" spans="1:8" outlineLevel="1">
      <c r="A132"/>
      <c r="B132" s="216"/>
      <c r="C132" s="358"/>
      <c r="D132" s="359"/>
      <c r="E132" s="360"/>
      <c r="F132" s="358"/>
      <c r="G132" s="359"/>
      <c r="H132" s="360"/>
    </row>
    <row r="133" spans="1:8" s="227" customFormat="1">
      <c r="C133" s="361"/>
      <c r="D133" s="362"/>
      <c r="E133" s="363"/>
      <c r="F133" s="361"/>
      <c r="G133" s="362"/>
      <c r="H133" s="363"/>
    </row>
    <row r="134" spans="1:8" outlineLevel="1">
      <c r="A134"/>
      <c r="B134" s="216"/>
      <c r="C134" s="358"/>
      <c r="D134" s="359"/>
      <c r="E134" s="360"/>
      <c r="F134" s="358"/>
      <c r="G134" s="359"/>
      <c r="H134" s="360"/>
    </row>
    <row r="135" spans="1:8" outlineLevel="1">
      <c r="A135"/>
      <c r="B135" s="216"/>
      <c r="C135" s="358"/>
      <c r="D135" s="359"/>
      <c r="E135" s="360"/>
      <c r="F135" s="358"/>
      <c r="G135" s="359"/>
      <c r="H135" s="360"/>
    </row>
    <row r="136" spans="1:8" s="227" customFormat="1">
      <c r="C136" s="361"/>
      <c r="D136" s="362"/>
      <c r="E136" s="363"/>
      <c r="F136" s="361"/>
      <c r="G136" s="362"/>
      <c r="H136" s="363"/>
    </row>
    <row r="137" spans="1:8" outlineLevel="1">
      <c r="A137"/>
      <c r="B137" s="216"/>
      <c r="C137" s="358"/>
      <c r="D137" s="359"/>
      <c r="E137" s="360"/>
      <c r="F137" s="358"/>
      <c r="G137" s="359"/>
      <c r="H137" s="360"/>
    </row>
    <row r="138" spans="1:8" outlineLevel="1">
      <c r="A138"/>
      <c r="B138" s="216"/>
      <c r="C138" s="358"/>
      <c r="D138" s="359"/>
      <c r="E138" s="360"/>
      <c r="F138" s="358"/>
      <c r="G138" s="359"/>
      <c r="H138" s="360"/>
    </row>
    <row r="139" spans="1:8" s="227" customFormat="1">
      <c r="C139" s="361"/>
      <c r="D139" s="362"/>
      <c r="E139" s="363"/>
      <c r="F139" s="361"/>
      <c r="G139" s="362"/>
      <c r="H139" s="363"/>
    </row>
    <row r="140" spans="1:8" outlineLevel="1">
      <c r="A140"/>
      <c r="B140" s="216"/>
      <c r="C140" s="358"/>
      <c r="D140" s="359"/>
      <c r="E140" s="360"/>
      <c r="F140" s="358"/>
      <c r="G140" s="359"/>
      <c r="H140" s="360"/>
    </row>
    <row r="141" spans="1:8" outlineLevel="1">
      <c r="A141"/>
      <c r="B141" s="216"/>
      <c r="C141" s="358"/>
      <c r="D141" s="359"/>
      <c r="E141" s="360"/>
      <c r="F141" s="358"/>
      <c r="G141" s="359"/>
      <c r="H141" s="360"/>
    </row>
    <row r="142" spans="1:8" outlineLevel="1">
      <c r="A142"/>
      <c r="B142" s="216"/>
      <c r="C142" s="358"/>
      <c r="D142" s="359"/>
      <c r="E142" s="360"/>
      <c r="F142" s="358"/>
      <c r="G142" s="359"/>
      <c r="H142" s="360"/>
    </row>
    <row r="143" spans="1:8" outlineLevel="1">
      <c r="A143"/>
      <c r="B143" s="216"/>
      <c r="C143" s="358"/>
      <c r="D143" s="359"/>
      <c r="E143" s="360"/>
      <c r="F143" s="358"/>
      <c r="G143" s="359"/>
      <c r="H143" s="360"/>
    </row>
    <row r="144" spans="1:8" s="227" customFormat="1">
      <c r="C144" s="361"/>
      <c r="D144" s="362"/>
      <c r="E144" s="363"/>
      <c r="F144" s="361"/>
      <c r="G144" s="362"/>
      <c r="H144" s="363"/>
    </row>
    <row r="145" spans="1:8" outlineLevel="1">
      <c r="A145"/>
      <c r="B145" s="216"/>
      <c r="C145" s="358"/>
      <c r="D145" s="359"/>
      <c r="E145" s="360"/>
      <c r="F145" s="358"/>
      <c r="G145" s="359"/>
      <c r="H145" s="360"/>
    </row>
    <row r="146" spans="1:8" outlineLevel="1">
      <c r="A146"/>
      <c r="B146" s="216"/>
      <c r="C146" s="358"/>
      <c r="D146" s="359"/>
      <c r="E146" s="360"/>
      <c r="F146" s="358"/>
      <c r="G146" s="359"/>
      <c r="H146" s="360"/>
    </row>
    <row r="147" spans="1:8" outlineLevel="1">
      <c r="A147"/>
      <c r="B147" s="216"/>
      <c r="C147" s="358"/>
      <c r="D147" s="359"/>
      <c r="E147" s="360"/>
      <c r="F147" s="358"/>
      <c r="G147" s="359"/>
      <c r="H147" s="360"/>
    </row>
    <row r="148" spans="1:8" outlineLevel="1">
      <c r="A148"/>
      <c r="B148" s="216"/>
      <c r="C148" s="358"/>
      <c r="D148" s="359"/>
      <c r="E148" s="360"/>
      <c r="F148" s="358"/>
      <c r="G148" s="359"/>
      <c r="H148" s="360"/>
    </row>
    <row r="149" spans="1:8" s="227" customFormat="1">
      <c r="C149" s="361"/>
      <c r="D149" s="362"/>
      <c r="E149" s="363"/>
      <c r="F149" s="361"/>
      <c r="G149" s="362"/>
      <c r="H149" s="363"/>
    </row>
    <row r="150" spans="1:8" s="227" customFormat="1" ht="13.5" customHeight="1">
      <c r="A150" s="233"/>
      <c r="B150" s="237"/>
      <c r="C150" s="371"/>
      <c r="D150" s="372"/>
      <c r="E150" s="373"/>
      <c r="F150" s="371"/>
      <c r="G150" s="372"/>
      <c r="H150" s="373"/>
    </row>
    <row r="151" spans="1:8" outlineLevel="1">
      <c r="A151"/>
      <c r="B151" s="216"/>
      <c r="C151" s="358"/>
      <c r="D151" s="359"/>
      <c r="E151" s="360"/>
      <c r="F151" s="358"/>
      <c r="G151" s="359"/>
      <c r="H151" s="360"/>
    </row>
    <row r="152" spans="1:8" outlineLevel="1">
      <c r="A152"/>
      <c r="B152" s="216"/>
      <c r="C152" s="358"/>
      <c r="D152" s="359"/>
      <c r="E152" s="360"/>
      <c r="F152" s="358"/>
      <c r="G152" s="359"/>
      <c r="H152" s="360"/>
    </row>
    <row r="153" spans="1:8" outlineLevel="1">
      <c r="A153"/>
      <c r="B153" s="216"/>
      <c r="C153" s="358"/>
      <c r="D153" s="359"/>
      <c r="E153" s="360"/>
      <c r="F153" s="358"/>
      <c r="G153" s="359"/>
      <c r="H153" s="360"/>
    </row>
    <row r="154" spans="1:8" s="227" customFormat="1">
      <c r="C154" s="361"/>
      <c r="D154" s="362"/>
      <c r="E154" s="363"/>
      <c r="F154" s="361"/>
      <c r="G154" s="362"/>
      <c r="H154" s="363"/>
    </row>
    <row r="155" spans="1:8" s="227" customFormat="1" ht="13.5" customHeight="1">
      <c r="A155" s="233"/>
      <c r="B155" s="237"/>
      <c r="C155" s="371"/>
      <c r="D155" s="372"/>
      <c r="E155" s="373"/>
      <c r="F155" s="371"/>
      <c r="G155" s="372"/>
      <c r="H155" s="373"/>
    </row>
    <row r="156" spans="1:8" outlineLevel="1">
      <c r="A156"/>
      <c r="B156" s="216"/>
      <c r="C156" s="358"/>
      <c r="D156" s="359"/>
      <c r="E156" s="360"/>
      <c r="F156" s="358"/>
      <c r="G156" s="359"/>
      <c r="H156" s="360"/>
    </row>
    <row r="157" spans="1:8" outlineLevel="1">
      <c r="A157"/>
      <c r="B157" s="216"/>
      <c r="C157" s="358"/>
      <c r="D157" s="359"/>
      <c r="E157" s="360"/>
      <c r="F157" s="358"/>
      <c r="G157" s="359"/>
      <c r="H157" s="360"/>
    </row>
    <row r="158" spans="1:8" outlineLevel="1">
      <c r="A158"/>
      <c r="B158" s="216"/>
      <c r="C158" s="358"/>
      <c r="D158" s="359"/>
      <c r="E158" s="360"/>
      <c r="F158" s="358"/>
      <c r="G158" s="359"/>
      <c r="H158" s="360"/>
    </row>
    <row r="159" spans="1:8" outlineLevel="1">
      <c r="A159"/>
      <c r="B159" s="216"/>
      <c r="C159" s="358"/>
      <c r="D159" s="359"/>
      <c r="E159" s="360"/>
      <c r="F159" s="358"/>
      <c r="G159" s="359"/>
      <c r="H159" s="360"/>
    </row>
    <row r="160" spans="1:8" outlineLevel="1">
      <c r="A160"/>
      <c r="B160" s="216"/>
      <c r="C160" s="358"/>
      <c r="D160" s="359"/>
      <c r="E160" s="360"/>
      <c r="F160" s="358"/>
      <c r="G160" s="359"/>
      <c r="H160" s="360"/>
    </row>
    <row r="161" spans="1:8" outlineLevel="1">
      <c r="A161"/>
      <c r="B161" s="216"/>
      <c r="C161" s="358"/>
      <c r="D161" s="359"/>
      <c r="E161" s="360"/>
      <c r="F161" s="358"/>
      <c r="G161" s="359"/>
      <c r="H161" s="360"/>
    </row>
    <row r="162" spans="1:8" outlineLevel="1">
      <c r="A162"/>
      <c r="B162" s="216"/>
      <c r="C162" s="358"/>
      <c r="D162" s="359"/>
      <c r="E162" s="360"/>
      <c r="F162" s="358"/>
      <c r="G162" s="359"/>
      <c r="H162" s="360"/>
    </row>
    <row r="163" spans="1:8" s="227" customFormat="1">
      <c r="C163" s="361"/>
      <c r="D163" s="362"/>
      <c r="E163" s="363"/>
      <c r="F163" s="361"/>
      <c r="G163" s="362"/>
      <c r="H163" s="363"/>
    </row>
    <row r="164" spans="1:8" outlineLevel="1">
      <c r="A164"/>
      <c r="B164" s="216"/>
      <c r="C164" s="358"/>
      <c r="D164" s="359"/>
      <c r="E164" s="360"/>
      <c r="F164" s="358"/>
      <c r="G164" s="359"/>
      <c r="H164" s="360"/>
    </row>
    <row r="165" spans="1:8" outlineLevel="1">
      <c r="A165"/>
      <c r="B165" s="216"/>
      <c r="C165" s="358"/>
      <c r="D165" s="359"/>
      <c r="E165" s="360"/>
      <c r="F165" s="358"/>
      <c r="G165" s="359"/>
      <c r="H165" s="360"/>
    </row>
    <row r="166" spans="1:8" s="227" customFormat="1">
      <c r="C166" s="361"/>
      <c r="D166" s="362"/>
      <c r="E166" s="363"/>
      <c r="F166" s="361"/>
      <c r="G166" s="362"/>
      <c r="H166" s="363"/>
    </row>
    <row r="167" spans="1:8" s="227" customFormat="1" ht="13.5" customHeight="1">
      <c r="A167" s="233"/>
      <c r="B167" s="237"/>
      <c r="C167" s="371"/>
      <c r="D167" s="372"/>
      <c r="E167" s="373"/>
      <c r="F167" s="371"/>
      <c r="G167" s="372"/>
      <c r="H167" s="373"/>
    </row>
  </sheetData>
  <phoneticPr fontId="0" type="noConversion"/>
  <pageMargins left="0.75" right="0.75" top="1" bottom="1" header="0.5" footer="0.5"/>
  <pageSetup paperSize="9" scale="5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122"/>
  <sheetViews>
    <sheetView showGridLines="0" zoomScale="8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sqref="A1:I1048576"/>
    </sheetView>
  </sheetViews>
  <sheetFormatPr baseColWidth="10" defaultColWidth="9.140625" defaultRowHeight="12.75" outlineLevelRow="1"/>
  <cols>
    <col min="1" max="1" width="13.140625" style="203" customWidth="1"/>
    <col min="2" max="2" width="58.28515625" style="203" bestFit="1" customWidth="1"/>
    <col min="3" max="3" width="17.140625" style="203" bestFit="1" customWidth="1"/>
    <col min="4" max="4" width="10.7109375" style="203" customWidth="1"/>
    <col min="5" max="5" width="15.85546875" style="203" customWidth="1"/>
    <col min="6" max="6" width="15.5703125" style="203" bestFit="1" customWidth="1"/>
    <col min="7" max="7" width="10.7109375" style="203" customWidth="1"/>
    <col min="8" max="8" width="16.85546875" style="203" customWidth="1"/>
    <col min="9" max="9" width="9.28515625" style="203" bestFit="1" customWidth="1"/>
    <col min="10" max="16384" width="9.140625" style="203"/>
  </cols>
  <sheetData>
    <row r="1" spans="1:8">
      <c r="A1" s="202"/>
      <c r="C1" s="238"/>
      <c r="D1" s="238"/>
    </row>
    <row r="2" spans="1:8" collapsed="1">
      <c r="B2" s="239"/>
      <c r="C2" s="240"/>
      <c r="D2" s="241"/>
      <c r="E2" s="242"/>
      <c r="F2" s="238"/>
      <c r="G2" s="236"/>
      <c r="H2" s="236"/>
    </row>
    <row r="3" spans="1:8" outlineLevel="1">
      <c r="C3" s="211"/>
      <c r="F3" s="211"/>
    </row>
    <row r="4" spans="1:8" outlineLevel="1">
      <c r="C4" s="212"/>
      <c r="F4" s="212"/>
    </row>
    <row r="5" spans="1:8" outlineLevel="1">
      <c r="C5" s="212"/>
      <c r="F5" s="212"/>
    </row>
    <row r="6" spans="1:8" outlineLevel="1">
      <c r="C6" s="211"/>
      <c r="F6" s="211"/>
    </row>
    <row r="7" spans="1:8" outlineLevel="1">
      <c r="C7" s="211"/>
      <c r="F7" s="211"/>
    </row>
    <row r="8" spans="1:8" outlineLevel="1">
      <c r="C8" s="211"/>
      <c r="F8" s="211"/>
    </row>
    <row r="9" spans="1:8" outlineLevel="1">
      <c r="C9" s="211"/>
      <c r="F9" s="211"/>
    </row>
    <row r="10" spans="1:8" outlineLevel="1">
      <c r="C10" s="211"/>
      <c r="F10" s="211"/>
    </row>
    <row r="11" spans="1:8" outlineLevel="1">
      <c r="C11" s="243"/>
      <c r="D11" s="236"/>
      <c r="E11" s="236"/>
      <c r="F11" s="243"/>
      <c r="G11" s="236"/>
      <c r="H11" s="236"/>
    </row>
    <row r="13" spans="1:8" ht="15.75" customHeight="1" thickBot="1">
      <c r="B13" s="213"/>
      <c r="C13" s="214"/>
      <c r="D13" s="214"/>
      <c r="E13" s="244"/>
      <c r="F13" s="214"/>
      <c r="G13" s="214"/>
      <c r="H13" s="244"/>
    </row>
    <row r="14" spans="1:8" ht="6.75" customHeight="1">
      <c r="B14" s="216"/>
      <c r="C14" s="216"/>
      <c r="D14" s="217"/>
      <c r="E14" s="245"/>
      <c r="F14" s="216"/>
      <c r="G14" s="217"/>
      <c r="H14" s="245"/>
    </row>
    <row r="15" spans="1:8">
      <c r="A15" s="219"/>
      <c r="B15" s="246"/>
      <c r="C15" s="247"/>
      <c r="D15" s="225"/>
      <c r="E15" s="245"/>
      <c r="F15" s="247"/>
      <c r="G15" s="225"/>
      <c r="H15" s="245"/>
    </row>
    <row r="16" spans="1:8">
      <c r="A16" s="224"/>
      <c r="B16" s="216"/>
      <c r="C16" s="216"/>
      <c r="D16" s="225"/>
      <c r="E16" s="245"/>
      <c r="F16" s="216"/>
      <c r="G16" s="225"/>
      <c r="H16" s="245"/>
    </row>
    <row r="17" spans="1:10" outlineLevel="1">
      <c r="A17"/>
      <c r="B17" s="216"/>
      <c r="C17" s="358"/>
      <c r="D17" s="374"/>
      <c r="E17" s="375"/>
      <c r="F17" s="358"/>
      <c r="G17" s="374"/>
      <c r="H17" s="375"/>
      <c r="J17"/>
    </row>
    <row r="18" spans="1:10" outlineLevel="1">
      <c r="A18"/>
      <c r="B18" s="216"/>
      <c r="C18" s="358"/>
      <c r="D18" s="374"/>
      <c r="E18" s="375"/>
      <c r="F18" s="358"/>
      <c r="G18" s="374"/>
      <c r="H18" s="375"/>
      <c r="J18"/>
    </row>
    <row r="19" spans="1:10" outlineLevel="1">
      <c r="A19"/>
      <c r="B19" s="216"/>
      <c r="C19" s="358"/>
      <c r="D19" s="374"/>
      <c r="E19" s="375"/>
      <c r="F19" s="358"/>
      <c r="G19" s="374"/>
      <c r="H19" s="375"/>
      <c r="J19"/>
    </row>
    <row r="20" spans="1:10" outlineLevel="1">
      <c r="A20"/>
      <c r="B20" s="216"/>
      <c r="C20" s="358"/>
      <c r="D20" s="374"/>
      <c r="E20" s="375"/>
      <c r="F20" s="358"/>
      <c r="G20" s="374"/>
      <c r="H20" s="375"/>
      <c r="J20"/>
    </row>
    <row r="21" spans="1:10" outlineLevel="1">
      <c r="A21"/>
      <c r="B21" s="216"/>
      <c r="C21" s="358"/>
      <c r="D21" s="374"/>
      <c r="E21" s="375"/>
      <c r="F21" s="358"/>
      <c r="G21" s="374"/>
      <c r="H21" s="375"/>
      <c r="J21"/>
    </row>
    <row r="22" spans="1:10" outlineLevel="1">
      <c r="A22"/>
      <c r="B22" s="216"/>
      <c r="C22" s="358"/>
      <c r="D22" s="374"/>
      <c r="E22" s="375"/>
      <c r="F22" s="358"/>
      <c r="G22" s="374"/>
      <c r="H22" s="375"/>
      <c r="J22"/>
    </row>
    <row r="23" spans="1:10" outlineLevel="1">
      <c r="A23"/>
      <c r="B23" s="216"/>
      <c r="C23" s="358"/>
      <c r="D23" s="374"/>
      <c r="E23" s="375"/>
      <c r="F23" s="358"/>
      <c r="G23" s="374"/>
      <c r="H23" s="375"/>
      <c r="J23"/>
    </row>
    <row r="24" spans="1:10" outlineLevel="1">
      <c r="A24"/>
      <c r="B24" s="216"/>
      <c r="C24" s="358"/>
      <c r="D24" s="374"/>
      <c r="E24" s="375"/>
      <c r="F24" s="358"/>
      <c r="G24" s="374"/>
      <c r="H24" s="375"/>
      <c r="J24"/>
    </row>
    <row r="25" spans="1:10" outlineLevel="1">
      <c r="A25"/>
      <c r="B25" s="216"/>
      <c r="C25" s="358"/>
      <c r="D25" s="374"/>
      <c r="E25" s="375"/>
      <c r="F25" s="358"/>
      <c r="G25" s="374"/>
      <c r="H25" s="375"/>
      <c r="J25"/>
    </row>
    <row r="26" spans="1:10" outlineLevel="1">
      <c r="A26"/>
      <c r="B26" s="216"/>
      <c r="C26" s="358"/>
      <c r="D26" s="374"/>
      <c r="E26" s="375"/>
      <c r="F26" s="358"/>
      <c r="G26" s="374"/>
      <c r="H26" s="375"/>
      <c r="J26"/>
    </row>
    <row r="27" spans="1:10" outlineLevel="1">
      <c r="A27"/>
      <c r="B27" s="216"/>
      <c r="C27" s="358"/>
      <c r="D27" s="374"/>
      <c r="E27" s="375"/>
      <c r="F27" s="358"/>
      <c r="G27" s="374"/>
      <c r="H27" s="375"/>
      <c r="J27"/>
    </row>
    <row r="28" spans="1:10" s="227" customFormat="1">
      <c r="A28" s="20"/>
      <c r="B28" s="248"/>
      <c r="C28" s="361"/>
      <c r="D28" s="376"/>
      <c r="E28" s="377"/>
      <c r="F28" s="361"/>
      <c r="G28" s="376"/>
      <c r="H28" s="377"/>
    </row>
    <row r="29" spans="1:10">
      <c r="A29"/>
      <c r="B29" s="216"/>
      <c r="C29" s="358"/>
      <c r="D29" s="374"/>
      <c r="E29" s="375"/>
      <c r="F29" s="358"/>
      <c r="G29" s="374"/>
      <c r="H29" s="375"/>
    </row>
    <row r="30" spans="1:10" outlineLevel="1">
      <c r="A30"/>
      <c r="B30" s="216"/>
      <c r="C30" s="358"/>
      <c r="D30" s="374"/>
      <c r="E30" s="375"/>
      <c r="F30" s="358"/>
      <c r="G30" s="374"/>
      <c r="H30" s="375"/>
      <c r="J30"/>
    </row>
    <row r="31" spans="1:10" outlineLevel="1">
      <c r="A31"/>
      <c r="B31" s="216"/>
      <c r="C31" s="358"/>
      <c r="D31" s="374"/>
      <c r="E31" s="375"/>
      <c r="F31" s="358"/>
      <c r="G31" s="374"/>
      <c r="H31" s="375"/>
      <c r="J31"/>
    </row>
    <row r="32" spans="1:10" outlineLevel="1">
      <c r="A32"/>
      <c r="B32" s="216"/>
      <c r="C32" s="358"/>
      <c r="D32" s="374"/>
      <c r="E32" s="375"/>
      <c r="F32" s="358"/>
      <c r="G32" s="374"/>
      <c r="H32" s="375"/>
      <c r="J32"/>
    </row>
    <row r="33" spans="1:10" outlineLevel="1">
      <c r="A33"/>
      <c r="B33" s="216"/>
      <c r="C33" s="358"/>
      <c r="D33" s="374"/>
      <c r="E33" s="375"/>
      <c r="F33" s="358"/>
      <c r="G33" s="374"/>
      <c r="H33" s="375"/>
      <c r="J33"/>
    </row>
    <row r="34" spans="1:10" outlineLevel="1">
      <c r="A34"/>
      <c r="B34" s="216"/>
      <c r="C34" s="358"/>
      <c r="D34" s="374"/>
      <c r="E34" s="375"/>
      <c r="F34" s="358"/>
      <c r="G34" s="374"/>
      <c r="H34" s="375"/>
      <c r="J34"/>
    </row>
    <row r="35" spans="1:10" outlineLevel="1">
      <c r="A35"/>
      <c r="B35" s="216"/>
      <c r="C35" s="358"/>
      <c r="D35" s="374"/>
      <c r="E35" s="375"/>
      <c r="F35" s="358"/>
      <c r="G35" s="374"/>
      <c r="H35" s="375"/>
      <c r="J35"/>
    </row>
    <row r="36" spans="1:10" outlineLevel="1">
      <c r="A36"/>
      <c r="B36" s="216"/>
      <c r="C36" s="358"/>
      <c r="D36" s="374"/>
      <c r="E36" s="375"/>
      <c r="F36" s="358"/>
      <c r="G36" s="374"/>
      <c r="H36" s="375"/>
      <c r="J36"/>
    </row>
    <row r="37" spans="1:10" s="227" customFormat="1">
      <c r="A37" s="20"/>
      <c r="B37" s="248"/>
      <c r="C37" s="361"/>
      <c r="D37" s="376"/>
      <c r="E37" s="377"/>
      <c r="F37" s="361"/>
      <c r="G37" s="376"/>
      <c r="H37" s="377"/>
    </row>
    <row r="38" spans="1:10">
      <c r="A38"/>
      <c r="B38" s="216"/>
      <c r="C38" s="358"/>
      <c r="D38" s="374"/>
      <c r="E38" s="375"/>
      <c r="F38" s="358"/>
      <c r="G38" s="374"/>
      <c r="H38" s="375"/>
    </row>
    <row r="39" spans="1:10" outlineLevel="1">
      <c r="A39"/>
      <c r="B39" s="216"/>
      <c r="C39" s="358"/>
      <c r="D39" s="374"/>
      <c r="E39" s="375"/>
      <c r="F39" s="358"/>
      <c r="G39" s="374"/>
      <c r="H39" s="375"/>
      <c r="J39"/>
    </row>
    <row r="40" spans="1:10" outlineLevel="1">
      <c r="A40"/>
      <c r="B40" s="216"/>
      <c r="C40" s="358"/>
      <c r="D40" s="374"/>
      <c r="E40" s="375"/>
      <c r="F40" s="358"/>
      <c r="G40" s="374"/>
      <c r="H40" s="375"/>
      <c r="J40"/>
    </row>
    <row r="41" spans="1:10" outlineLevel="1">
      <c r="A41"/>
      <c r="B41" s="216"/>
      <c r="C41" s="358"/>
      <c r="D41" s="374"/>
      <c r="E41" s="375"/>
      <c r="F41" s="358"/>
      <c r="G41" s="374"/>
      <c r="H41" s="375"/>
      <c r="J41"/>
    </row>
    <row r="42" spans="1:10" outlineLevel="1">
      <c r="A42"/>
      <c r="B42" s="216"/>
      <c r="C42" s="358"/>
      <c r="D42" s="374"/>
      <c r="E42" s="375"/>
      <c r="F42" s="358"/>
      <c r="G42" s="374"/>
      <c r="H42" s="375"/>
      <c r="J42"/>
    </row>
    <row r="43" spans="1:10" outlineLevel="1">
      <c r="A43"/>
      <c r="B43" s="216"/>
      <c r="C43" s="358"/>
      <c r="D43" s="374"/>
      <c r="E43" s="375"/>
      <c r="F43" s="358"/>
      <c r="G43" s="374"/>
      <c r="H43" s="375"/>
      <c r="J43"/>
    </row>
    <row r="44" spans="1:10" s="227" customFormat="1">
      <c r="A44" s="20"/>
      <c r="B44" s="248"/>
      <c r="C44" s="361"/>
      <c r="D44" s="376"/>
      <c r="E44" s="377"/>
      <c r="F44" s="361"/>
      <c r="G44" s="376"/>
      <c r="H44" s="377"/>
    </row>
    <row r="45" spans="1:10">
      <c r="A45"/>
      <c r="B45" s="216"/>
      <c r="C45" s="358"/>
      <c r="D45" s="374"/>
      <c r="E45" s="375"/>
      <c r="F45" s="358"/>
      <c r="G45" s="374"/>
      <c r="H45" s="375"/>
    </row>
    <row r="46" spans="1:10" outlineLevel="1">
      <c r="A46"/>
      <c r="B46" s="216"/>
      <c r="C46" s="358"/>
      <c r="D46" s="374"/>
      <c r="E46" s="375"/>
      <c r="F46" s="358"/>
      <c r="G46" s="374"/>
      <c r="H46" s="375"/>
      <c r="J46"/>
    </row>
    <row r="47" spans="1:10" outlineLevel="1">
      <c r="A47"/>
      <c r="B47" s="216"/>
      <c r="C47" s="358"/>
      <c r="D47" s="374"/>
      <c r="E47" s="375"/>
      <c r="F47" s="358"/>
      <c r="G47" s="374"/>
      <c r="H47" s="375"/>
      <c r="J47"/>
    </row>
    <row r="48" spans="1:10" s="227" customFormat="1">
      <c r="A48" s="20"/>
      <c r="B48" s="248"/>
      <c r="C48" s="361"/>
      <c r="D48" s="376"/>
      <c r="E48" s="377"/>
      <c r="F48" s="361"/>
      <c r="G48" s="376"/>
      <c r="H48" s="377"/>
    </row>
    <row r="49" spans="1:10">
      <c r="A49"/>
      <c r="B49" s="216"/>
      <c r="C49" s="358"/>
      <c r="D49" s="374"/>
      <c r="E49" s="375"/>
      <c r="F49" s="358"/>
      <c r="G49" s="374"/>
      <c r="H49" s="375"/>
    </row>
    <row r="50" spans="1:10" outlineLevel="1">
      <c r="A50"/>
      <c r="B50" s="216"/>
      <c r="C50" s="358"/>
      <c r="D50" s="374"/>
      <c r="E50" s="375"/>
      <c r="F50" s="358"/>
      <c r="G50" s="374"/>
      <c r="H50" s="375"/>
      <c r="J50"/>
    </row>
    <row r="51" spans="1:10" s="227" customFormat="1">
      <c r="A51" s="20"/>
      <c r="B51" s="248"/>
      <c r="C51" s="361"/>
      <c r="D51" s="376"/>
      <c r="E51" s="377"/>
      <c r="F51" s="361"/>
      <c r="G51" s="376"/>
      <c r="H51" s="377"/>
    </row>
    <row r="52" spans="1:10">
      <c r="A52"/>
      <c r="B52" s="216"/>
      <c r="C52" s="358"/>
      <c r="D52" s="374"/>
      <c r="E52" s="375"/>
      <c r="F52" s="358"/>
      <c r="G52" s="374"/>
      <c r="H52" s="375"/>
    </row>
    <row r="53" spans="1:10" outlineLevel="1">
      <c r="A53"/>
      <c r="B53" s="216"/>
      <c r="C53" s="358"/>
      <c r="D53" s="374"/>
      <c r="E53" s="375"/>
      <c r="F53" s="358"/>
      <c r="G53" s="374"/>
      <c r="H53" s="375"/>
      <c r="J53"/>
    </row>
    <row r="54" spans="1:10" s="227" customFormat="1">
      <c r="A54" s="20"/>
      <c r="B54" s="248"/>
      <c r="C54" s="361"/>
      <c r="D54" s="376"/>
      <c r="E54" s="377"/>
      <c r="F54" s="361"/>
      <c r="G54" s="376"/>
      <c r="H54" s="377"/>
    </row>
    <row r="55" spans="1:10">
      <c r="A55"/>
      <c r="B55" s="216"/>
      <c r="C55" s="358"/>
      <c r="D55" s="374"/>
      <c r="E55" s="375"/>
      <c r="F55" s="358"/>
      <c r="G55" s="374"/>
      <c r="H55" s="375"/>
    </row>
    <row r="56" spans="1:10" s="251" customFormat="1">
      <c r="A56" s="249"/>
      <c r="B56" s="250"/>
      <c r="C56" s="361"/>
      <c r="D56" s="376"/>
      <c r="E56" s="377"/>
      <c r="F56" s="361"/>
      <c r="G56" s="376"/>
      <c r="H56" s="377"/>
    </row>
    <row r="57" spans="1:10">
      <c r="A57"/>
      <c r="B57" s="216"/>
      <c r="C57" s="358"/>
      <c r="D57" s="374"/>
      <c r="E57" s="375"/>
      <c r="F57" s="358"/>
      <c r="G57" s="374"/>
      <c r="H57" s="375"/>
    </row>
    <row r="58" spans="1:10" outlineLevel="1">
      <c r="A58"/>
      <c r="B58" s="216"/>
      <c r="C58" s="358"/>
      <c r="D58" s="374"/>
      <c r="E58" s="375"/>
      <c r="F58" s="358"/>
      <c r="G58" s="374"/>
      <c r="H58" s="375"/>
      <c r="J58"/>
    </row>
    <row r="59" spans="1:10" outlineLevel="1">
      <c r="B59" s="216"/>
      <c r="C59" s="358"/>
      <c r="D59" s="374"/>
      <c r="E59" s="375"/>
      <c r="F59" s="358"/>
      <c r="G59" s="374"/>
      <c r="H59" s="375"/>
      <c r="J59"/>
    </row>
    <row r="60" spans="1:10" outlineLevel="1">
      <c r="B60" s="216"/>
      <c r="C60" s="358"/>
      <c r="D60" s="374"/>
      <c r="E60" s="375"/>
      <c r="F60" s="358"/>
      <c r="G60" s="374"/>
      <c r="H60" s="375"/>
      <c r="J60"/>
    </row>
    <row r="61" spans="1:10" outlineLevel="1">
      <c r="A61" s="357"/>
      <c r="B61" s="216"/>
      <c r="C61" s="358"/>
      <c r="D61" s="374"/>
      <c r="E61" s="375"/>
      <c r="F61" s="358"/>
      <c r="G61" s="374"/>
      <c r="H61" s="375"/>
      <c r="J61"/>
    </row>
    <row r="62" spans="1:10" outlineLevel="1">
      <c r="A62" s="357"/>
      <c r="B62" s="216"/>
      <c r="C62" s="358"/>
      <c r="D62" s="374"/>
      <c r="E62" s="375"/>
      <c r="F62" s="358"/>
      <c r="G62" s="374"/>
      <c r="H62" s="375"/>
      <c r="J62"/>
    </row>
    <row r="63" spans="1:10" outlineLevel="1">
      <c r="A63" s="357"/>
      <c r="B63" s="216"/>
      <c r="C63" s="358"/>
      <c r="D63" s="374"/>
      <c r="E63" s="375"/>
      <c r="F63" s="358"/>
      <c r="G63" s="374"/>
      <c r="H63" s="375"/>
      <c r="J63"/>
    </row>
    <row r="64" spans="1:10" outlineLevel="1">
      <c r="A64" s="357"/>
      <c r="B64" s="216"/>
      <c r="C64" s="358"/>
      <c r="D64" s="374"/>
      <c r="E64" s="375"/>
      <c r="F64" s="358"/>
      <c r="G64" s="374"/>
      <c r="H64" s="375"/>
      <c r="J64"/>
    </row>
    <row r="65" spans="1:10" outlineLevel="1">
      <c r="A65"/>
      <c r="B65" s="216"/>
      <c r="C65" s="358"/>
      <c r="D65" s="374"/>
      <c r="E65" s="375"/>
      <c r="F65" s="358"/>
      <c r="G65" s="374"/>
      <c r="H65" s="375"/>
      <c r="J65"/>
    </row>
    <row r="66" spans="1:10" s="227" customFormat="1">
      <c r="A66" s="20"/>
      <c r="B66" s="248"/>
      <c r="C66" s="361"/>
      <c r="D66" s="376"/>
      <c r="E66" s="377"/>
      <c r="F66" s="361"/>
      <c r="G66" s="376"/>
      <c r="H66" s="377"/>
    </row>
    <row r="67" spans="1:10">
      <c r="A67"/>
      <c r="B67" s="216"/>
      <c r="C67" s="358"/>
      <c r="D67" s="374"/>
      <c r="E67" s="375"/>
      <c r="F67" s="358"/>
      <c r="G67" s="374"/>
      <c r="H67" s="375"/>
    </row>
    <row r="68" spans="1:10" outlineLevel="1">
      <c r="A68"/>
      <c r="B68" s="216"/>
      <c r="C68" s="358"/>
      <c r="D68" s="374"/>
      <c r="E68" s="375"/>
      <c r="F68" s="358"/>
      <c r="G68" s="374"/>
      <c r="H68" s="375"/>
      <c r="J68"/>
    </row>
    <row r="69" spans="1:10" outlineLevel="1">
      <c r="B69" s="216"/>
      <c r="C69" s="358"/>
      <c r="D69" s="374"/>
      <c r="E69" s="375"/>
      <c r="F69" s="358"/>
      <c r="G69" s="374"/>
      <c r="H69" s="375"/>
      <c r="J69"/>
    </row>
    <row r="70" spans="1:10" outlineLevel="1">
      <c r="B70" s="216"/>
      <c r="C70" s="358"/>
      <c r="D70" s="374"/>
      <c r="E70" s="375"/>
      <c r="F70" s="358"/>
      <c r="G70" s="374"/>
      <c r="H70" s="375"/>
      <c r="J70"/>
    </row>
    <row r="71" spans="1:10" s="227" customFormat="1">
      <c r="A71" s="20"/>
      <c r="B71" s="248"/>
      <c r="C71" s="361"/>
      <c r="D71" s="376"/>
      <c r="E71" s="377"/>
      <c r="F71" s="361"/>
      <c r="G71" s="376"/>
      <c r="H71" s="377"/>
    </row>
    <row r="72" spans="1:10">
      <c r="A72"/>
      <c r="B72" s="216"/>
      <c r="C72" s="358"/>
      <c r="D72" s="374"/>
      <c r="E72" s="375"/>
      <c r="F72" s="358"/>
      <c r="G72" s="374"/>
      <c r="H72" s="375"/>
    </row>
    <row r="73" spans="1:10" s="254" customFormat="1" ht="15.75">
      <c r="A73" s="252"/>
      <c r="B73" s="253"/>
      <c r="C73" s="378"/>
      <c r="D73" s="379"/>
      <c r="E73" s="380"/>
      <c r="F73" s="378"/>
      <c r="G73" s="379"/>
      <c r="H73" s="380"/>
    </row>
    <row r="74" spans="1:10">
      <c r="A74"/>
      <c r="B74" s="216"/>
      <c r="C74" s="358"/>
      <c r="D74" s="374"/>
      <c r="E74" s="375"/>
      <c r="F74" s="358"/>
      <c r="G74" s="374"/>
      <c r="H74" s="375"/>
    </row>
    <row r="75" spans="1:10" outlineLevel="1">
      <c r="A75" s="11"/>
      <c r="B75" s="216"/>
      <c r="C75" s="358"/>
      <c r="D75" s="374"/>
      <c r="E75" s="375"/>
      <c r="F75" s="358"/>
      <c r="G75" s="374"/>
      <c r="H75" s="375"/>
      <c r="J75"/>
    </row>
    <row r="76" spans="1:10" s="227" customFormat="1">
      <c r="A76" s="20"/>
      <c r="B76" s="248"/>
      <c r="C76" s="361"/>
      <c r="D76" s="376"/>
      <c r="E76" s="377"/>
      <c r="F76" s="361"/>
      <c r="G76" s="376"/>
      <c r="H76" s="377"/>
    </row>
    <row r="77" spans="1:10" s="227" customFormat="1">
      <c r="A77" s="20"/>
      <c r="B77" s="317"/>
      <c r="C77" s="361"/>
      <c r="D77" s="374"/>
      <c r="E77" s="375"/>
      <c r="F77" s="358"/>
      <c r="G77" s="374"/>
      <c r="H77" s="375"/>
    </row>
    <row r="78" spans="1:10" outlineLevel="1">
      <c r="A78" s="11"/>
      <c r="B78" s="216"/>
      <c r="C78" s="358"/>
      <c r="D78" s="374"/>
      <c r="E78" s="375"/>
      <c r="F78" s="358"/>
      <c r="G78" s="374"/>
      <c r="H78" s="375"/>
      <c r="J78"/>
    </row>
    <row r="79" spans="1:10" s="227" customFormat="1">
      <c r="A79" s="20"/>
      <c r="B79" s="248"/>
      <c r="C79" s="361"/>
      <c r="D79" s="376"/>
      <c r="E79" s="377"/>
      <c r="F79" s="361"/>
      <c r="G79" s="376"/>
      <c r="H79" s="377"/>
    </row>
    <row r="80" spans="1:10">
      <c r="A80"/>
      <c r="B80" s="216"/>
      <c r="C80" s="358"/>
      <c r="D80" s="374"/>
      <c r="E80" s="375"/>
      <c r="F80" s="358"/>
      <c r="G80" s="374"/>
      <c r="H80" s="375"/>
    </row>
    <row r="81" spans="1:10" outlineLevel="1">
      <c r="A81"/>
      <c r="B81" s="216"/>
      <c r="C81" s="358"/>
      <c r="D81" s="374"/>
      <c r="E81" s="375"/>
      <c r="F81" s="358"/>
      <c r="G81" s="374"/>
      <c r="H81" s="375"/>
      <c r="J81"/>
    </row>
    <row r="82" spans="1:10" outlineLevel="1">
      <c r="A82"/>
      <c r="B82" s="216"/>
      <c r="C82" s="358"/>
      <c r="D82" s="374"/>
      <c r="E82" s="375"/>
      <c r="F82" s="358"/>
      <c r="G82" s="374"/>
      <c r="H82" s="375"/>
      <c r="J82"/>
    </row>
    <row r="83" spans="1:10" outlineLevel="1">
      <c r="A83"/>
      <c r="B83" s="216"/>
      <c r="C83" s="358"/>
      <c r="D83" s="374"/>
      <c r="E83" s="375"/>
      <c r="F83" s="358"/>
      <c r="G83" s="374"/>
      <c r="H83" s="375"/>
      <c r="J83"/>
    </row>
    <row r="84" spans="1:10" outlineLevel="1">
      <c r="A84"/>
      <c r="B84" s="216"/>
      <c r="C84" s="358"/>
      <c r="D84" s="374"/>
      <c r="E84" s="375"/>
      <c r="F84" s="358"/>
      <c r="G84" s="374"/>
      <c r="H84" s="375"/>
      <c r="J84"/>
    </row>
    <row r="85" spans="1:10" s="227" customFormat="1">
      <c r="A85" s="20"/>
      <c r="B85" s="248"/>
      <c r="C85" s="361"/>
      <c r="D85" s="376"/>
      <c r="E85" s="377"/>
      <c r="F85" s="361"/>
      <c r="G85" s="376"/>
      <c r="H85" s="377"/>
    </row>
    <row r="86" spans="1:10" s="227" customFormat="1">
      <c r="A86" s="20"/>
      <c r="B86" s="216"/>
      <c r="C86" s="361"/>
      <c r="D86" s="376"/>
      <c r="E86" s="377"/>
      <c r="F86" s="361"/>
      <c r="G86" s="376"/>
      <c r="H86" s="377"/>
    </row>
    <row r="87" spans="1:10" outlineLevel="1">
      <c r="A87"/>
      <c r="B87" s="216"/>
      <c r="C87" s="358"/>
      <c r="D87" s="374"/>
      <c r="E87" s="375"/>
      <c r="F87" s="358"/>
      <c r="G87" s="374"/>
      <c r="H87" s="375"/>
      <c r="J87"/>
    </row>
    <row r="88" spans="1:10" outlineLevel="1">
      <c r="A88"/>
      <c r="B88" s="216"/>
      <c r="C88" s="358"/>
      <c r="D88" s="374"/>
      <c r="E88" s="375"/>
      <c r="F88" s="358"/>
      <c r="G88" s="374"/>
      <c r="H88" s="375"/>
      <c r="J88"/>
    </row>
    <row r="89" spans="1:10" outlineLevel="1">
      <c r="A89"/>
      <c r="B89" s="216"/>
      <c r="C89" s="358"/>
      <c r="D89" s="374"/>
      <c r="E89" s="375"/>
      <c r="F89" s="358"/>
      <c r="G89" s="374"/>
      <c r="H89" s="375"/>
      <c r="J89"/>
    </row>
    <row r="90" spans="1:10" outlineLevel="1">
      <c r="A90"/>
      <c r="B90" s="216"/>
      <c r="C90" s="358"/>
      <c r="D90" s="374"/>
      <c r="E90" s="375"/>
      <c r="F90" s="358"/>
      <c r="G90" s="374"/>
      <c r="H90" s="375"/>
      <c r="J90"/>
    </row>
    <row r="91" spans="1:10" outlineLevel="1">
      <c r="A91"/>
      <c r="B91" s="216"/>
      <c r="C91" s="358"/>
      <c r="D91" s="374"/>
      <c r="E91" s="375"/>
      <c r="F91" s="358"/>
      <c r="G91" s="374"/>
      <c r="H91" s="375"/>
      <c r="J91"/>
    </row>
    <row r="92" spans="1:10" outlineLevel="1">
      <c r="A92"/>
      <c r="B92" s="216"/>
      <c r="C92" s="358"/>
      <c r="D92" s="374"/>
      <c r="E92" s="375"/>
      <c r="F92" s="358"/>
      <c r="G92" s="374"/>
      <c r="H92" s="375"/>
      <c r="J92"/>
    </row>
    <row r="93" spans="1:10" s="227" customFormat="1">
      <c r="A93" s="20"/>
      <c r="B93" s="248"/>
      <c r="C93" s="361"/>
      <c r="D93" s="376"/>
      <c r="E93" s="377"/>
      <c r="F93" s="361"/>
      <c r="G93" s="376"/>
      <c r="H93" s="377"/>
    </row>
    <row r="94" spans="1:10" s="227" customFormat="1">
      <c r="A94" s="20"/>
      <c r="B94" s="216"/>
      <c r="C94" s="361"/>
      <c r="D94" s="376"/>
      <c r="E94" s="377"/>
      <c r="F94" s="361"/>
      <c r="G94" s="376"/>
      <c r="H94" s="377"/>
    </row>
    <row r="95" spans="1:10" outlineLevel="1">
      <c r="A95"/>
      <c r="B95" s="216"/>
      <c r="C95" s="358"/>
      <c r="D95" s="374"/>
      <c r="E95" s="375"/>
      <c r="F95" s="358"/>
      <c r="G95" s="374"/>
      <c r="H95" s="375"/>
      <c r="J95"/>
    </row>
    <row r="96" spans="1:10" outlineLevel="1">
      <c r="A96"/>
      <c r="B96" s="216"/>
      <c r="C96" s="358"/>
      <c r="D96" s="374"/>
      <c r="E96" s="375"/>
      <c r="F96" s="358"/>
      <c r="G96" s="374"/>
      <c r="H96" s="375"/>
      <c r="J96"/>
    </row>
    <row r="97" spans="1:10" outlineLevel="1">
      <c r="A97"/>
      <c r="B97" s="216"/>
      <c r="C97" s="358"/>
      <c r="D97" s="374"/>
      <c r="E97" s="375"/>
      <c r="F97" s="358"/>
      <c r="G97" s="374"/>
      <c r="H97" s="375"/>
      <c r="J97"/>
    </row>
    <row r="98" spans="1:10" s="227" customFormat="1">
      <c r="A98" s="20"/>
      <c r="B98" s="248"/>
      <c r="C98" s="361"/>
      <c r="D98" s="376"/>
      <c r="E98" s="377"/>
      <c r="F98" s="361"/>
      <c r="G98" s="376"/>
      <c r="H98" s="377"/>
    </row>
    <row r="99" spans="1:10">
      <c r="A99"/>
      <c r="B99" s="216"/>
      <c r="C99" s="358"/>
      <c r="D99" s="374"/>
      <c r="E99" s="375"/>
      <c r="F99" s="358"/>
      <c r="G99" s="374"/>
      <c r="H99" s="375"/>
    </row>
    <row r="100" spans="1:10" outlineLevel="1">
      <c r="A100"/>
      <c r="B100" s="216"/>
      <c r="C100" s="358"/>
      <c r="D100" s="374"/>
      <c r="E100" s="375"/>
      <c r="F100" s="358"/>
      <c r="G100" s="374"/>
      <c r="H100" s="375"/>
      <c r="J100"/>
    </row>
    <row r="101" spans="1:10" outlineLevel="1">
      <c r="A101"/>
      <c r="B101" s="216"/>
      <c r="C101" s="358"/>
      <c r="D101" s="374"/>
      <c r="E101" s="375"/>
      <c r="F101" s="358"/>
      <c r="G101" s="374"/>
      <c r="H101" s="375"/>
      <c r="J101"/>
    </row>
    <row r="102" spans="1:10" outlineLevel="1">
      <c r="A102"/>
      <c r="B102" s="216"/>
      <c r="C102" s="358"/>
      <c r="D102" s="374"/>
      <c r="E102" s="375"/>
      <c r="F102" s="358"/>
      <c r="G102" s="374"/>
      <c r="H102" s="375"/>
      <c r="J102"/>
    </row>
    <row r="103" spans="1:10" s="227" customFormat="1">
      <c r="A103" s="20"/>
      <c r="B103" s="248"/>
      <c r="C103" s="361"/>
      <c r="D103" s="376"/>
      <c r="E103" s="377"/>
      <c r="F103" s="361"/>
      <c r="G103" s="376"/>
      <c r="H103" s="377"/>
    </row>
    <row r="104" spans="1:10">
      <c r="A104"/>
      <c r="B104" s="216"/>
      <c r="C104" s="358"/>
      <c r="D104" s="374"/>
      <c r="E104" s="375"/>
      <c r="F104" s="358"/>
      <c r="G104" s="374"/>
      <c r="H104" s="375"/>
    </row>
    <row r="105" spans="1:10">
      <c r="A105"/>
      <c r="B105" s="216"/>
      <c r="C105" s="358"/>
      <c r="D105" s="374"/>
      <c r="E105" s="375"/>
      <c r="F105" s="358"/>
      <c r="G105" s="374"/>
      <c r="H105" s="375"/>
    </row>
    <row r="106" spans="1:10" s="254" customFormat="1" ht="15.75">
      <c r="A106" s="252"/>
      <c r="B106" s="253"/>
      <c r="C106" s="378"/>
      <c r="D106" s="379"/>
      <c r="E106" s="380"/>
      <c r="F106" s="378"/>
      <c r="G106" s="379"/>
      <c r="H106" s="380"/>
    </row>
    <row r="107" spans="1:10" s="257" customFormat="1" ht="15.75">
      <c r="A107" s="255"/>
      <c r="B107" s="256"/>
      <c r="C107" s="381"/>
      <c r="D107" s="381"/>
      <c r="E107" s="382"/>
      <c r="F107" s="381"/>
      <c r="G107" s="381"/>
      <c r="H107" s="382"/>
    </row>
    <row r="108" spans="1:10" s="236" customFormat="1">
      <c r="A108" s="27"/>
      <c r="B108" s="228"/>
      <c r="C108" s="383"/>
      <c r="D108" s="383"/>
      <c r="E108" s="384"/>
      <c r="F108" s="383"/>
      <c r="G108" s="383"/>
      <c r="H108" s="384"/>
    </row>
    <row r="109" spans="1:10" s="261" customFormat="1" ht="15">
      <c r="A109" s="259"/>
      <c r="B109" s="260"/>
      <c r="C109" s="385"/>
      <c r="D109" s="386"/>
      <c r="E109" s="387"/>
      <c r="F109" s="385"/>
      <c r="G109" s="386"/>
      <c r="H109" s="387"/>
    </row>
    <row r="110" spans="1:10" s="236" customFormat="1" ht="6.75" customHeight="1">
      <c r="A110" s="232"/>
      <c r="B110" s="258"/>
      <c r="C110" s="384"/>
      <c r="D110" s="384"/>
      <c r="E110" s="384"/>
      <c r="F110" s="384"/>
      <c r="G110" s="384"/>
      <c r="H110" s="384"/>
    </row>
    <row r="111" spans="1:10">
      <c r="B111" s="235"/>
      <c r="C111" s="364"/>
      <c r="D111" s="364"/>
      <c r="E111" s="364"/>
      <c r="F111" s="364"/>
      <c r="G111" s="364"/>
      <c r="H111" s="364"/>
    </row>
    <row r="112" spans="1:10">
      <c r="C112" s="369"/>
      <c r="D112" s="369"/>
      <c r="E112" s="369"/>
      <c r="F112" s="369"/>
      <c r="G112" s="369"/>
      <c r="H112" s="369"/>
    </row>
    <row r="113" spans="1:10">
      <c r="C113" s="369"/>
      <c r="D113" s="369"/>
      <c r="E113" s="369"/>
      <c r="F113" s="369"/>
      <c r="G113" s="369"/>
      <c r="H113" s="369"/>
    </row>
    <row r="114" spans="1:10">
      <c r="C114" s="369"/>
      <c r="D114" s="369"/>
      <c r="E114" s="369"/>
      <c r="F114" s="369"/>
      <c r="G114" s="369"/>
      <c r="H114" s="369"/>
    </row>
    <row r="115" spans="1:10">
      <c r="C115" s="369"/>
      <c r="D115" s="369"/>
      <c r="E115" s="369"/>
      <c r="F115" s="369"/>
      <c r="G115" s="369"/>
      <c r="H115" s="369"/>
    </row>
    <row r="116" spans="1:10">
      <c r="C116" s="369"/>
      <c r="D116" s="369"/>
      <c r="E116" s="369"/>
      <c r="F116" s="369"/>
      <c r="G116" s="369"/>
      <c r="H116" s="369"/>
    </row>
    <row r="117" spans="1:10">
      <c r="C117" s="369"/>
      <c r="D117" s="369"/>
      <c r="E117" s="369"/>
      <c r="F117" s="369"/>
      <c r="G117" s="369"/>
      <c r="H117" s="369"/>
    </row>
    <row r="118" spans="1:10">
      <c r="C118" s="369"/>
      <c r="D118" s="369"/>
      <c r="E118" s="369"/>
      <c r="F118" s="369"/>
      <c r="G118" s="369"/>
      <c r="H118" s="369"/>
    </row>
    <row r="119" spans="1:10">
      <c r="C119" s="369"/>
      <c r="D119" s="369"/>
      <c r="E119" s="369"/>
      <c r="F119" s="369"/>
      <c r="G119" s="369"/>
      <c r="H119" s="369"/>
    </row>
    <row r="120" spans="1:10">
      <c r="C120" s="369"/>
      <c r="D120" s="369"/>
      <c r="E120" s="369"/>
      <c r="F120" s="369"/>
      <c r="G120" s="369"/>
      <c r="H120" s="369"/>
    </row>
    <row r="121" spans="1:10">
      <c r="C121" s="369"/>
      <c r="D121" s="369"/>
      <c r="E121" s="369"/>
      <c r="F121" s="369"/>
      <c r="G121" s="369"/>
      <c r="H121" s="369"/>
    </row>
    <row r="122" spans="1:10">
      <c r="A122"/>
      <c r="B122" s="216"/>
      <c r="C122" s="358"/>
      <c r="D122" s="374"/>
      <c r="E122" s="375"/>
      <c r="F122" s="358"/>
      <c r="G122" s="374"/>
      <c r="H122" s="375"/>
      <c r="J122"/>
    </row>
  </sheetData>
  <phoneticPr fontId="0" type="noConversion"/>
  <conditionalFormatting sqref="J122 J95:J97 J81:J84 J100:J102 J87:J92 J75 J78 J68:J70 J17:J27 J30:J36 J46:J47 J50 J53 J39:J43 J58:J65">
    <cfRule type="cellIs" dxfId="0" priority="2" stopIfTrue="1" operator="equal">
      <formula>TRUE</formula>
    </cfRule>
  </conditionalFormatting>
  <pageMargins left="0.19" right="0.42" top="1" bottom="1" header="0.5" footer="0.5"/>
  <pageSetup paperSize="9" scale="4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O49"/>
  <sheetViews>
    <sheetView showGridLines="0" topLeftCell="A13" workbookViewId="0">
      <selection activeCell="A13" sqref="A1:F1048576"/>
    </sheetView>
  </sheetViews>
  <sheetFormatPr baseColWidth="10" defaultColWidth="9.140625" defaultRowHeight="12.75"/>
  <cols>
    <col min="1" max="1" width="39.42578125" style="270" customWidth="1"/>
    <col min="2" max="2" width="9.85546875" style="270" customWidth="1"/>
    <col min="3" max="3" width="10.28515625" style="270" customWidth="1"/>
    <col min="4" max="4" width="12.42578125" style="270" bestFit="1" customWidth="1"/>
    <col min="5" max="5" width="24.42578125" style="270" customWidth="1"/>
    <col min="6" max="6" width="9.140625" style="270" customWidth="1"/>
    <col min="7" max="7" width="41" style="270" customWidth="1"/>
    <col min="8" max="16384" width="9.140625" style="270"/>
  </cols>
  <sheetData>
    <row r="1" spans="1:15">
      <c r="A1" s="269"/>
    </row>
    <row r="3" spans="1:15" s="275" customFormat="1" ht="51.75" customHeight="1" thickBot="1">
      <c r="A3" s="514"/>
      <c r="B3" s="515"/>
      <c r="C3" s="517"/>
      <c r="D3" s="518"/>
      <c r="G3" s="276"/>
      <c r="H3" s="277"/>
      <c r="I3" s="278"/>
    </row>
    <row r="4" spans="1:15">
      <c r="A4" s="512"/>
      <c r="B4" s="519"/>
      <c r="C4" s="535"/>
      <c r="D4" s="536"/>
      <c r="G4" s="276"/>
      <c r="H4" s="277"/>
      <c r="I4" s="283"/>
    </row>
    <row r="5" spans="1:15">
      <c r="A5" s="513"/>
      <c r="B5" s="528"/>
      <c r="C5" s="537"/>
      <c r="D5" s="537"/>
      <c r="E5" s="479"/>
      <c r="F5" s="480"/>
      <c r="G5" s="481"/>
      <c r="H5" s="481"/>
      <c r="I5" s="482"/>
      <c r="J5" s="483" t="s">
        <v>461</v>
      </c>
      <c r="K5" s="484"/>
      <c r="L5" s="484"/>
      <c r="M5" s="484"/>
      <c r="N5" s="485" t="s">
        <v>462</v>
      </c>
      <c r="O5" s="481"/>
    </row>
    <row r="6" spans="1:15">
      <c r="A6" s="513"/>
      <c r="B6" s="528"/>
      <c r="C6" s="537"/>
      <c r="D6" s="537"/>
      <c r="E6" s="479"/>
      <c r="F6" s="480"/>
      <c r="G6" s="482" t="s">
        <v>369</v>
      </c>
      <c r="H6" s="482"/>
      <c r="I6" s="486"/>
      <c r="J6" s="483"/>
      <c r="K6" s="484"/>
      <c r="L6" s="484"/>
      <c r="M6" s="484"/>
      <c r="N6" s="484"/>
      <c r="O6" s="481"/>
    </row>
    <row r="7" spans="1:15">
      <c r="A7" s="513"/>
      <c r="B7" s="528"/>
      <c r="C7" s="537"/>
      <c r="D7" s="537"/>
      <c r="E7" s="487"/>
      <c r="F7" s="480"/>
      <c r="G7" s="488">
        <v>0.1</v>
      </c>
      <c r="H7" s="481" t="s">
        <v>463</v>
      </c>
      <c r="I7" s="481"/>
      <c r="J7" s="483" t="s">
        <v>464</v>
      </c>
      <c r="K7" s="484"/>
      <c r="L7" s="484"/>
      <c r="M7" s="484"/>
      <c r="N7" s="484"/>
      <c r="O7" s="485" t="s">
        <v>462</v>
      </c>
    </row>
    <row r="8" spans="1:15">
      <c r="A8" s="513"/>
      <c r="B8" s="528"/>
      <c r="C8" s="537"/>
      <c r="D8" s="537"/>
      <c r="E8" s="487"/>
      <c r="F8" s="480"/>
      <c r="G8" s="481"/>
      <c r="H8" s="481"/>
      <c r="I8" s="489">
        <v>0</v>
      </c>
      <c r="J8" s="483" t="s">
        <v>465</v>
      </c>
      <c r="K8" s="484"/>
      <c r="L8" s="484"/>
      <c r="M8" s="484"/>
      <c r="N8" s="484"/>
      <c r="O8" s="481"/>
    </row>
    <row r="9" spans="1:15" ht="13.5" thickBot="1">
      <c r="A9" s="516"/>
      <c r="B9" s="533"/>
      <c r="C9" s="521"/>
      <c r="D9" s="521"/>
      <c r="E9" s="481"/>
      <c r="F9" s="480"/>
      <c r="G9" s="481"/>
      <c r="H9" s="481"/>
      <c r="I9" s="490"/>
      <c r="J9" s="481"/>
      <c r="K9" s="486"/>
      <c r="L9" s="481"/>
      <c r="M9" s="481"/>
      <c r="N9" s="481"/>
      <c r="O9" s="481"/>
    </row>
    <row r="10" spans="1:15">
      <c r="A10" s="510"/>
      <c r="B10" s="511"/>
      <c r="C10" s="511"/>
      <c r="D10" s="511"/>
      <c r="G10" s="295"/>
      <c r="H10" s="295"/>
    </row>
    <row r="11" spans="1:15">
      <c r="D11" s="287"/>
      <c r="E11" s="287"/>
      <c r="G11" s="295"/>
      <c r="H11" s="295"/>
    </row>
    <row r="12" spans="1:15">
      <c r="A12" s="296"/>
      <c r="B12" s="296"/>
      <c r="C12" s="296"/>
      <c r="D12" s="296"/>
      <c r="E12" s="296"/>
    </row>
    <row r="15" spans="1:15">
      <c r="A15" s="269"/>
      <c r="B15" s="520"/>
      <c r="C15" s="520"/>
      <c r="D15" s="297"/>
      <c r="E15" s="295"/>
    </row>
    <row r="16" spans="1:15">
      <c r="B16" s="302"/>
      <c r="C16" s="302"/>
    </row>
    <row r="17" spans="1:5">
      <c r="A17" s="524"/>
      <c r="B17" s="525"/>
      <c r="C17" s="525"/>
      <c r="D17" s="526"/>
      <c r="E17" s="527"/>
    </row>
    <row r="18" spans="1:5">
      <c r="A18" s="301"/>
      <c r="B18" s="523"/>
      <c r="C18" s="302"/>
      <c r="D18" s="298"/>
    </row>
    <row r="19" spans="1:5">
      <c r="A19" s="301"/>
      <c r="B19" s="523"/>
      <c r="C19" s="302"/>
      <c r="D19" s="298"/>
    </row>
    <row r="20" spans="1:5">
      <c r="A20" s="301"/>
      <c r="B20" s="523"/>
      <c r="C20" s="302"/>
      <c r="D20" s="298"/>
    </row>
    <row r="21" spans="1:5">
      <c r="A21" s="301"/>
      <c r="B21" s="523"/>
      <c r="C21" s="302"/>
      <c r="D21" s="298"/>
    </row>
    <row r="22" spans="1:5">
      <c r="A22" s="301"/>
      <c r="B22" s="523"/>
      <c r="C22" s="302"/>
      <c r="D22" s="298"/>
    </row>
    <row r="23" spans="1:5">
      <c r="A23" s="301"/>
      <c r="B23" s="523"/>
      <c r="C23" s="302"/>
      <c r="D23" s="298"/>
    </row>
    <row r="24" spans="1:5">
      <c r="A24" s="301"/>
      <c r="B24" s="523"/>
      <c r="C24" s="302"/>
      <c r="D24" s="298"/>
    </row>
    <row r="25" spans="1:5">
      <c r="A25" s="301"/>
      <c r="B25" s="523"/>
      <c r="C25" s="302"/>
      <c r="D25" s="298"/>
    </row>
    <row r="26" spans="1:5">
      <c r="A26" s="529"/>
      <c r="B26" s="528"/>
      <c r="C26" s="302"/>
      <c r="D26" s="298"/>
    </row>
    <row r="27" spans="1:5">
      <c r="A27" s="529"/>
      <c r="B27" s="528"/>
      <c r="C27" s="302"/>
      <c r="D27" s="298"/>
    </row>
    <row r="28" spans="1:5">
      <c r="A28" s="529"/>
      <c r="B28" s="528"/>
      <c r="C28" s="302"/>
      <c r="D28" s="298"/>
    </row>
    <row r="29" spans="1:5">
      <c r="A29" s="524"/>
      <c r="B29" s="525"/>
      <c r="C29" s="525"/>
      <c r="D29" s="526"/>
      <c r="E29" s="527"/>
    </row>
    <row r="30" spans="1:5">
      <c r="B30" s="523"/>
      <c r="C30" s="302"/>
      <c r="D30" s="298"/>
    </row>
    <row r="31" spans="1:5">
      <c r="B31" s="523"/>
      <c r="C31" s="302"/>
      <c r="D31" s="298"/>
    </row>
    <row r="32" spans="1:5">
      <c r="B32" s="523"/>
      <c r="C32" s="302"/>
      <c r="D32" s="298"/>
    </row>
    <row r="33" spans="1:5">
      <c r="B33" s="523"/>
      <c r="C33" s="302"/>
      <c r="D33" s="298"/>
    </row>
    <row r="34" spans="1:5">
      <c r="B34" s="523"/>
      <c r="C34" s="302"/>
      <c r="D34" s="298"/>
    </row>
    <row r="35" spans="1:5">
      <c r="A35" s="529"/>
      <c r="B35" s="528"/>
      <c r="C35" s="302"/>
      <c r="D35" s="298"/>
    </row>
    <row r="36" spans="1:5">
      <c r="A36" s="301"/>
      <c r="B36" s="302"/>
      <c r="C36" s="302"/>
      <c r="D36" s="298"/>
    </row>
    <row r="37" spans="1:5">
      <c r="A37" s="301"/>
      <c r="B37" s="302"/>
      <c r="C37" s="302"/>
      <c r="D37" s="298"/>
    </row>
    <row r="38" spans="1:5">
      <c r="B38" s="303"/>
      <c r="C38" s="303"/>
      <c r="D38" s="304"/>
    </row>
    <row r="40" spans="1:5">
      <c r="A40" s="524"/>
      <c r="B40" s="525"/>
      <c r="C40" s="525"/>
      <c r="D40" s="526"/>
      <c r="E40" s="527"/>
    </row>
    <row r="41" spans="1:5" s="531" customFormat="1">
      <c r="A41" s="510"/>
      <c r="B41" s="532"/>
      <c r="C41" s="532"/>
      <c r="D41" s="530"/>
    </row>
    <row r="42" spans="1:5">
      <c r="B42" s="523"/>
    </row>
    <row r="43" spans="1:5">
      <c r="B43" s="523"/>
    </row>
    <row r="45" spans="1:5">
      <c r="B45" s="523"/>
    </row>
    <row r="46" spans="1:5">
      <c r="B46" s="523"/>
    </row>
    <row r="49" spans="1:2">
      <c r="A49" s="529"/>
      <c r="B49" s="529"/>
    </row>
  </sheetData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58"/>
  <sheetViews>
    <sheetView showGridLines="0" zoomScaleNormal="100" zoomScaleSheetLayoutView="70" workbookViewId="0">
      <pane xSplit="3" ySplit="7" topLeftCell="D8" activePane="bottomRight" state="frozen"/>
      <selection activeCell="N25" sqref="D15:N25"/>
      <selection pane="topRight" activeCell="N25" sqref="D15:N25"/>
      <selection pane="bottomLeft" activeCell="N25" sqref="D15:N25"/>
      <selection pane="bottomRight" activeCell="M28" sqref="M28"/>
    </sheetView>
  </sheetViews>
  <sheetFormatPr baseColWidth="10" defaultColWidth="9.140625" defaultRowHeight="11.25"/>
  <cols>
    <col min="1" max="1" width="10.28515625" style="392" customWidth="1"/>
    <col min="2" max="2" width="24.42578125" style="393" customWidth="1"/>
    <col min="3" max="3" width="14.140625" style="394" customWidth="1"/>
    <col min="4" max="4" width="13.7109375" style="394" customWidth="1"/>
    <col min="5" max="5" width="12.5703125" style="394" customWidth="1"/>
    <col min="6" max="6" width="13.140625" style="394" customWidth="1"/>
    <col min="7" max="7" width="13.7109375" style="394" customWidth="1"/>
    <col min="8" max="12" width="11.42578125" style="394" customWidth="1"/>
    <col min="13" max="13" width="14.7109375" style="394" customWidth="1"/>
    <col min="14" max="14" width="12.7109375" style="394" customWidth="1"/>
    <col min="15" max="16384" width="9.140625" style="394"/>
  </cols>
  <sheetData>
    <row r="1" spans="1:14">
      <c r="D1" s="393" t="s">
        <v>331</v>
      </c>
    </row>
    <row r="2" spans="1:14">
      <c r="D2" s="393" t="s">
        <v>367</v>
      </c>
    </row>
    <row r="3" spans="1:14">
      <c r="D3" s="393" t="s">
        <v>368</v>
      </c>
    </row>
    <row r="4" spans="1:14">
      <c r="D4" s="393" t="s">
        <v>334</v>
      </c>
    </row>
    <row r="5" spans="1:14" ht="12.75">
      <c r="B5" s="395"/>
      <c r="D5" s="396" t="s">
        <v>466</v>
      </c>
    </row>
    <row r="6" spans="1:14" ht="12.75">
      <c r="B6" s="395"/>
      <c r="D6" s="396" t="s">
        <v>467</v>
      </c>
    </row>
    <row r="7" spans="1:14">
      <c r="D7" s="393" t="s">
        <v>427</v>
      </c>
      <c r="E7" s="397"/>
      <c r="F7" s="397"/>
      <c r="G7" s="397"/>
      <c r="H7" s="397"/>
      <c r="I7" s="397"/>
      <c r="J7" s="397"/>
      <c r="K7" s="397"/>
    </row>
    <row r="8" spans="1:14">
      <c r="D8" s="397"/>
      <c r="E8" s="397"/>
      <c r="F8" s="397"/>
      <c r="G8" s="397"/>
      <c r="H8" s="397"/>
      <c r="I8" s="397"/>
      <c r="J8" s="397"/>
      <c r="K8" s="397"/>
    </row>
    <row r="9" spans="1:14">
      <c r="D9" s="397"/>
      <c r="E9" s="397"/>
      <c r="F9" s="397"/>
      <c r="G9" s="397"/>
      <c r="H9" s="397"/>
      <c r="I9" s="397"/>
      <c r="J9" s="397"/>
      <c r="K9" s="397"/>
    </row>
    <row r="10" spans="1:14">
      <c r="D10" s="397"/>
      <c r="E10" s="397"/>
      <c r="F10" s="397"/>
      <c r="G10" s="397"/>
      <c r="H10" s="397"/>
      <c r="I10" s="397"/>
      <c r="J10" s="397"/>
      <c r="K10" s="397"/>
    </row>
    <row r="11" spans="1:14">
      <c r="D11" s="398" t="str">
        <f>CONCATENATE("FL=",D12)</f>
        <v>FL=F00</v>
      </c>
      <c r="E11" s="398" t="str">
        <f t="shared" ref="E11:K11" si="0">CONCATENATE("FL=",E12)</f>
        <v>FL=F02</v>
      </c>
      <c r="F11" s="398" t="str">
        <f t="shared" si="0"/>
        <v>FL=F20</v>
      </c>
      <c r="G11" s="398" t="str">
        <f t="shared" si="0"/>
        <v>FL=F30</v>
      </c>
      <c r="H11" s="398" t="str">
        <f t="shared" si="0"/>
        <v>FL=F41</v>
      </c>
      <c r="I11" s="398" t="str">
        <f t="shared" si="0"/>
        <v>FL=F50</v>
      </c>
      <c r="J11" s="398" t="str">
        <f t="shared" si="0"/>
        <v>FL=F60</v>
      </c>
      <c r="K11" s="398" t="str">
        <f t="shared" si="0"/>
        <v>FL=F70</v>
      </c>
      <c r="L11" s="394" t="s">
        <v>428</v>
      </c>
      <c r="M11" s="394" t="s">
        <v>429</v>
      </c>
      <c r="N11" s="398" t="str">
        <f>CONCATENATE("FL=",N12)</f>
        <v>FL=F99</v>
      </c>
    </row>
    <row r="12" spans="1:14" s="397" customFormat="1" ht="12.75">
      <c r="A12" s="392"/>
      <c r="B12" s="392"/>
      <c r="C12" s="399"/>
      <c r="D12" s="400" t="s">
        <v>430</v>
      </c>
      <c r="E12" s="401" t="s">
        <v>431</v>
      </c>
      <c r="F12" s="401" t="s">
        <v>432</v>
      </c>
      <c r="G12" s="401" t="s">
        <v>433</v>
      </c>
      <c r="H12" s="401" t="s">
        <v>434</v>
      </c>
      <c r="I12" s="401" t="s">
        <v>435</v>
      </c>
      <c r="J12" s="401" t="s">
        <v>436</v>
      </c>
      <c r="K12" s="401" t="s">
        <v>437</v>
      </c>
      <c r="L12" s="401" t="s">
        <v>438</v>
      </c>
      <c r="M12" s="401" t="s">
        <v>439</v>
      </c>
      <c r="N12" s="401" t="s">
        <v>440</v>
      </c>
    </row>
    <row r="13" spans="1:14">
      <c r="C13" s="398"/>
      <c r="D13" s="402"/>
    </row>
    <row r="14" spans="1:14">
      <c r="C14" s="398"/>
      <c r="D14" s="402"/>
    </row>
    <row r="15" spans="1:14" ht="12.75">
      <c r="A15" s="403">
        <v>26101</v>
      </c>
      <c r="B15" s="404" t="e">
        <f ca="1">_xll.GetCtLabel($C15,"CURINIT(AC)!LDESC","#Participations dans des filiales et des co-entreprises")</f>
        <v>#NAME?</v>
      </c>
      <c r="C15" s="398" t="str">
        <f t="shared" ref="C15:C21" si="1">CONCATENATE("AC=",A15)</f>
        <v>AC=26101</v>
      </c>
      <c r="D15" s="491" t="e">
        <f ca="1">_xll.GetCtData("CO-AMOUNT","CONS-AMOUNT",$D$1:$D$6,$C15,D$11,"#158,482884356142")</f>
        <v>#NAME?</v>
      </c>
      <c r="E15" s="492" t="e">
        <f ca="1">_xll.GetCtData("CO-AMOUNT","CONS-AMOUNT",$D$1:$D$6,$C15,E$11,"#")</f>
        <v>#NAME?</v>
      </c>
      <c r="F15" s="493" t="e">
        <f ca="1">_xll.GetCtData("CO-AMOUNT","CONS-AMOUNT",$D$1:$D$6,$C15,F$11,"#0")</f>
        <v>#NAME?</v>
      </c>
      <c r="G15" s="493" t="e">
        <f ca="1">_xll.GetCtData("CO-AMOUNT","CONS-AMOUNT",$D$1:$D$6,$C15,G$11,"#-10")</f>
        <v>#NAME?</v>
      </c>
      <c r="H15" s="492" t="e">
        <f ca="1">_xll.GetCtData("CO-AMOUNT","CONS-AMOUNT",$D$1:$D$6,$C15,H$11,"#0")</f>
        <v>#NAME?</v>
      </c>
      <c r="I15" s="492" t="e">
        <f ca="1">_xll.GetCtData("CO-AMOUNT","CONS-AMOUNT",$D$1:$D$6,$C15,I$11,"#0")</f>
        <v>#NAME?</v>
      </c>
      <c r="J15" s="492" t="e">
        <f ca="1">_xll.GetCtData("CO-AMOUNT","CONS-AMOUNT",$D$1:$D$6,$C15,J$11,"#")</f>
        <v>#NAME?</v>
      </c>
      <c r="K15" s="492" t="e">
        <f ca="1">_xll.GetCtData("CO-AMOUNT","CONS-AMOUNT",$D$1:$D$6,$C15,K$11,"#1")</f>
        <v>#NAME?</v>
      </c>
      <c r="L15" s="492" t="e">
        <f ca="1">_xll.GetCtData("CO-AMOUNT","CONS-AMOUNT",$D$1:$D$6,$C15,L$11,"#5,062497175")</f>
        <v>#NAME?</v>
      </c>
      <c r="M15" s="492" t="e">
        <f ca="1">_xll.GetCtData("CO-AMOUNT","CONS-AMOUNT",$D$1:$D$6,$C15,M$11,"#0")</f>
        <v>#NAME?</v>
      </c>
      <c r="N15" s="494" t="e">
        <f ca="1">_xll.GetCtData("CO-AMOUNT","CONS-AMOUNT",$D$1:$D$6,$C15,N$11,"#154,545381531142")</f>
        <v>#NAME?</v>
      </c>
    </row>
    <row r="16" spans="1:14" ht="12.75">
      <c r="A16" s="403">
        <v>26102</v>
      </c>
      <c r="B16" s="404" t="e">
        <f ca="1">_xll.GetCtLabel($C16,"CURINIT(AC)!LDESC","#Perte de valeur sur des participations dans des filiales et des co-entreprises")</f>
        <v>#NAME?</v>
      </c>
      <c r="C16" s="398" t="str">
        <f t="shared" si="1"/>
        <v>AC=26102</v>
      </c>
      <c r="D16" s="495" t="e">
        <f ca="1">_xll.GetCtData("CO-AMOUNT","CONS-AMOUNT",$D$1:$D$6,$C16,D$11,"#-5,349605")</f>
        <v>#NAME?</v>
      </c>
      <c r="E16" s="496" t="e">
        <f ca="1">_xll.GetCtData("CO-AMOUNT","CONS-AMOUNT",$D$1:$D$6,$C16,E$11,"#")</f>
        <v>#NAME?</v>
      </c>
      <c r="F16" s="497" t="e">
        <f ca="1">_xll.GetCtData("CO-AMOUNT","CONS-AMOUNT",$D$1:$D$6,$C16,F$11,"#0")</f>
        <v>#NAME?</v>
      </c>
      <c r="G16" s="497" t="e">
        <f ca="1">_xll.GetCtData("CO-AMOUNT","CONS-AMOUNT",$D$1:$D$6,$C16,G$11,"#0")</f>
        <v>#NAME?</v>
      </c>
      <c r="H16" s="496" t="e">
        <f ca="1">_xll.GetCtData("CO-AMOUNT","CONS-AMOUNT",$D$1:$D$6,$C16,H$11,,"#")</f>
        <v>#NAME?</v>
      </c>
      <c r="I16" s="496" t="e">
        <f ca="1">_xll.GetCtData("CO-AMOUNT","CONS-AMOUNT",$D$1:$D$6,$C16,I$11,"#")</f>
        <v>#NAME?</v>
      </c>
      <c r="J16" s="496" t="e">
        <f ca="1">_xll.GetCtData("CO-AMOUNT","CONS-AMOUNT",$D$1:$D$6,$C16,J$11,"#0")</f>
        <v>#NAME?</v>
      </c>
      <c r="K16" s="496" t="e">
        <f ca="1">_xll.GetCtData("CO-AMOUNT","CONS-AMOUNT",$D$1:$D$6,$C16,K$11,"#")</f>
        <v>#NAME?</v>
      </c>
      <c r="L16" s="496" t="e">
        <f ca="1">_xll.GetCtData("CO-AMOUNT","CONS-AMOUNT",$D$1:$D$6,$C16,L$11,"#0")</f>
        <v>#NAME?</v>
      </c>
      <c r="M16" s="496" t="e">
        <f ca="1">_xll.GetCtData("CO-AMOUNT","CONS-AMOUNT",$D$1:$D$6,$C16,M$11,"#")</f>
        <v>#NAME?</v>
      </c>
      <c r="N16" s="498" t="e">
        <f ca="1">_xll.GetCtData("CO-AMOUNT","CONS-AMOUNT",$D$1:$D$6,$C16,N$11,"#-5,349605")</f>
        <v>#NAME?</v>
      </c>
    </row>
    <row r="17" spans="1:14" ht="12.75">
      <c r="A17" s="403">
        <v>26111</v>
      </c>
      <c r="B17" s="404" t="e">
        <f ca="1">_xll.GetCtLabel($C17,"CURINIT(AC)!LDESC","#Frais d'acquisition de participations")</f>
        <v>#NAME?</v>
      </c>
      <c r="C17" s="398" t="str">
        <f t="shared" si="1"/>
        <v>AC=26111</v>
      </c>
      <c r="D17" s="499" t="e">
        <f ca="1">_xll.GetCtData("CO-AMOUNT","CONS-AMOUNT",$D$1:$D$6,$C17,D$11,"#0")</f>
        <v>#NAME?</v>
      </c>
      <c r="E17" s="499" t="e">
        <f ca="1">_xll.GetCtData("CO-AMOUNT","CONS-AMOUNT",$D$1:$D$6,$C17,E$11,"#")</f>
        <v>#NAME?</v>
      </c>
      <c r="F17" s="500" t="e">
        <f ca="1">_xll.GetCtData("CO-AMOUNT","CONS-AMOUNT",$D$1:$D$6,$C17,F$11,"#")</f>
        <v>#NAME?</v>
      </c>
      <c r="G17" s="500" t="e">
        <f ca="1">_xll.GetCtData("CO-AMOUNT","CONS-AMOUNT",$D$1:$D$6,$C17,G$11,"#")</f>
        <v>#NAME?</v>
      </c>
      <c r="H17" s="499" t="e">
        <f ca="1">_xll.GetCtData("CO-AMOUNT","CONS-AMOUNT",$D$1:$D$6,$C17,H$11,,"#")</f>
        <v>#NAME?</v>
      </c>
      <c r="I17" s="499" t="e">
        <f ca="1">_xll.GetCtData("CO-AMOUNT","CONS-AMOUNT",$D$1:$D$6,$C17,I$11,"#")</f>
        <v>#NAME?</v>
      </c>
      <c r="J17" s="499" t="e">
        <f ca="1">_xll.GetCtData("CO-AMOUNT","CONS-AMOUNT",$D$1:$D$6,$C17,J$11,"#")</f>
        <v>#NAME?</v>
      </c>
      <c r="K17" s="499" t="e">
        <f ca="1">_xll.GetCtData("CO-AMOUNT","CONS-AMOUNT",$D$1:$D$6,$C17,K$11,"#")</f>
        <v>#NAME?</v>
      </c>
      <c r="L17" s="499" t="e">
        <f ca="1">_xll.GetCtData("CO-AMOUNT","CONS-AMOUNT",$D$1:$D$6,$C17,L$11,"#")</f>
        <v>#NAME?</v>
      </c>
      <c r="M17" s="499" t="e">
        <f ca="1">_xll.GetCtData("CO-AMOUNT","CONS-AMOUNT",$D$1:$D$6,$C17,M$11,"#")</f>
        <v>#NAME?</v>
      </c>
      <c r="N17" s="499" t="e">
        <f ca="1">_xll.GetCtData("CO-AMOUNT","CONS-AMOUNT",$D$1:$D$6,$C17,N$11,"#0")</f>
        <v>#NAME?</v>
      </c>
    </row>
    <row r="18" spans="1:14" ht="12.75">
      <c r="A18" s="403">
        <v>26121</v>
      </c>
      <c r="B18" s="404" t="e">
        <f ca="1">_xll.GetCtLabel($C18,"CURINIT(AC)!LDESC","#Ajustements de compléments de prix")</f>
        <v>#NAME?</v>
      </c>
      <c r="C18" s="398" t="str">
        <f t="shared" si="1"/>
        <v>AC=26121</v>
      </c>
      <c r="D18" s="499" t="e">
        <f ca="1">_xll.GetCtData("CO-AMOUNT","CONS-AMOUNT",$D$1:$D$6,$C18,D$11,"#")</f>
        <v>#NAME?</v>
      </c>
      <c r="E18" s="499" t="e">
        <f ca="1">_xll.GetCtData("CO-AMOUNT","CONS-AMOUNT",$D$1:$D$6,$C18,E$11,"#")</f>
        <v>#NAME?</v>
      </c>
      <c r="F18" s="500" t="e">
        <f ca="1">_xll.GetCtData("CO-AMOUNT","CONS-AMOUNT",$D$1:$D$6,$C18,F$11,"#")</f>
        <v>#NAME?</v>
      </c>
      <c r="G18" s="500" t="e">
        <f ca="1">_xll.GetCtData("CO-AMOUNT","CONS-AMOUNT",$D$1:$D$6,$C18,G$11,"#")</f>
        <v>#NAME?</v>
      </c>
      <c r="H18" s="499" t="e">
        <f ca="1">_xll.GetCtData("CO-AMOUNT","CONS-AMOUNT",$D$1:$D$6,$C18,H$11,,"#")</f>
        <v>#NAME?</v>
      </c>
      <c r="I18" s="499" t="e">
        <f ca="1">_xll.GetCtData("CO-AMOUNT","CONS-AMOUNT",$D$1:$D$6,$C18,I$11,"#")</f>
        <v>#NAME?</v>
      </c>
      <c r="J18" s="499" t="e">
        <f ca="1">_xll.GetCtData("CO-AMOUNT","CONS-AMOUNT",$D$1:$D$6,$C18,J$11,"#")</f>
        <v>#NAME?</v>
      </c>
      <c r="K18" s="499" t="e">
        <f ca="1">_xll.GetCtData("CO-AMOUNT","CONS-AMOUNT",$D$1:$D$6,$C18,K$11,"#")</f>
        <v>#NAME?</v>
      </c>
      <c r="L18" s="499" t="e">
        <f ca="1">_xll.GetCtData("CO-AMOUNT","CONS-AMOUNT",$D$1:$D$6,$C18,L$11,"#")</f>
        <v>#NAME?</v>
      </c>
      <c r="M18" s="499" t="e">
        <f ca="1">_xll.GetCtData("CO-AMOUNT","CONS-AMOUNT",$D$1:$D$6,$C18,M$11,"#")</f>
        <v>#NAME?</v>
      </c>
      <c r="N18" s="499" t="e">
        <f ca="1">_xll.GetCtData("CO-AMOUNT","CONS-AMOUNT",$D$1:$D$6,$C18,N$11,"#")</f>
        <v>#NAME?</v>
      </c>
    </row>
    <row r="19" spans="1:14" ht="12.75">
      <c r="A19" s="403" t="s">
        <v>441</v>
      </c>
      <c r="B19" s="404" t="e">
        <f ca="1">_xll.GetCtLabel($C19,"CURINIT(AC)!LDESC","#Actifs financiers AFS NC")</f>
        <v>#NAME?</v>
      </c>
      <c r="C19" s="398" t="str">
        <f t="shared" si="1"/>
        <v>AC=26201NC</v>
      </c>
      <c r="D19" s="499" t="e">
        <f ca="1">_xll.GetCtData("CO-AMOUNT","CONS-AMOUNT",$D$1:$D$6,$C19,D$11,"#555012,93115127")</f>
        <v>#NAME?</v>
      </c>
      <c r="E19" s="499" t="e">
        <f ca="1">_xll.GetCtData("CO-AMOUNT","CONS-AMOUNT",$D$1:$D$6,$C19,E$11,"#-16446")</f>
        <v>#NAME?</v>
      </c>
      <c r="F19" s="501" t="e">
        <f ca="1">_xll.GetCtData("CO-AMOUNT","CONS-AMOUNT",$D$1:$D$6,$C19,F$11,"#20724,430917")</f>
        <v>#NAME?</v>
      </c>
      <c r="G19" s="502" t="e">
        <f ca="1">_xll.GetCtData("CO-AMOUNT","CONS-AMOUNT",$D$1:$D$6,$C19,G$11,"#-49764,15745104")</f>
        <v>#NAME?</v>
      </c>
      <c r="H19" s="499" t="e">
        <f ca="1">_xll.GetCtData("CO-AMOUNT","CONS-AMOUNT",$D$1:$D$6,$C19,H$11,"#")</f>
        <v>#NAME?</v>
      </c>
      <c r="I19" s="499" t="e">
        <f ca="1">_xll.GetCtData("CO-AMOUNT","CONS-AMOUNT",$D$1:$D$6,$C19,I$11,"#-4788,624824")</f>
        <v>#NAME?</v>
      </c>
      <c r="J19" s="499" t="e">
        <f ca="1">_xll.GetCtData("CO-AMOUNT","CONS-AMOUNT",$D$1:$D$6,$C19,J$11,"#")</f>
        <v>#NAME?</v>
      </c>
      <c r="K19" s="499" t="e">
        <f ca="1">_xll.GetCtData("CO-AMOUNT","CONS-AMOUNT",$D$1:$D$6,$C19,K$11,"#-367")</f>
        <v>#NAME?</v>
      </c>
      <c r="L19" s="499" t="e">
        <f ca="1">_xll.GetCtData("CO-AMOUNT","CONS-AMOUNT",$D$1:$D$6,$C19,L$11,"#3640,71248677022")</f>
        <v>#NAME?</v>
      </c>
      <c r="M19" s="499" t="e">
        <f ca="1">_xll.GetCtData("CO-AMOUNT","CONS-AMOUNT",$D$1:$D$6,$C19,M$11,"#34339")</f>
        <v>#NAME?</v>
      </c>
      <c r="N19" s="499" t="e">
        <f ca="1">_xll.GetCtData("CO-AMOUNT","CONS-AMOUNT",$D$1:$D$6,$C19,N$11,"#542351,29228")</f>
        <v>#NAME?</v>
      </c>
    </row>
    <row r="20" spans="1:14" ht="12.75">
      <c r="A20" s="403" t="s">
        <v>442</v>
      </c>
      <c r="B20" s="404" t="e">
        <f ca="1">_xll.GetCtLabel($C20,"CURINIT(AC)!LDESC","#Var FV actifs financiers AFS NC")</f>
        <v>#NAME?</v>
      </c>
      <c r="C20" s="398" t="str">
        <f t="shared" si="1"/>
        <v>AC=26202NC</v>
      </c>
      <c r="D20" s="499" t="e">
        <f ca="1">_xll.GetCtData("CO-AMOUNT","CONS-AMOUNT",$D$1:$D$6,$C20,D$11,"#-49158,98340901")</f>
        <v>#NAME?</v>
      </c>
      <c r="E20" s="499" t="e">
        <f ca="1">_xll.GetCtData("CO-AMOUNT","CONS-AMOUNT",$D$1:$D$6,$C20,E$11,"#")</f>
        <v>#NAME?</v>
      </c>
      <c r="F20" s="499" t="e">
        <f ca="1">_xll.GetCtData("CO-AMOUNT","CONS-AMOUNT",$D$1:$D$6,$C20,F$11,"#57961,857496")</f>
        <v>#NAME?</v>
      </c>
      <c r="G20" s="499" t="e">
        <f ca="1">_xll.GetCtData("CO-AMOUNT","CONS-AMOUNT",$D$1:$D$6,$C20,G$11,"#-969")</f>
        <v>#NAME?</v>
      </c>
      <c r="H20" s="499" t="e">
        <f ca="1">_xll.GetCtData("CO-AMOUNT","CONS-AMOUNT",$D$1:$D$6,$C20,H$11,"#")</f>
        <v>#NAME?</v>
      </c>
      <c r="I20" s="499" t="e">
        <f ca="1">_xll.GetCtData("CO-AMOUNT","CONS-AMOUNT",$D$1:$D$6,$C20,I$11,"#-49")</f>
        <v>#NAME?</v>
      </c>
      <c r="J20" s="499" t="e">
        <f ca="1">_xll.GetCtData("CO-AMOUNT","CONS-AMOUNT",$D$1:$D$6,$C20,J$11,"#0")</f>
        <v>#NAME?</v>
      </c>
      <c r="K20" s="499" t="e">
        <f ca="1">_xll.GetCtData("CO-AMOUNT","CONS-AMOUNT",$D$1:$D$6,$C20,K$11,"#")</f>
        <v>#NAME?</v>
      </c>
      <c r="L20" s="499" t="e">
        <f ca="1">_xll.GetCtData("CO-AMOUNT","CONS-AMOUNT",$D$1:$D$6,$C20,L$11,"#0,69851301")</f>
        <v>#NAME?</v>
      </c>
      <c r="M20" s="499" t="e">
        <f ca="1">_xll.GetCtData("CO-AMOUNT","CONS-AMOUNT",$D$1:$D$6,$C20,M$11,"#")</f>
        <v>#NAME?</v>
      </c>
      <c r="N20" s="499" t="e">
        <f ca="1">_xll.GetCtData("CO-AMOUNT","CONS-AMOUNT",$D$1:$D$6,$C20,N$11,"#7785,5726")</f>
        <v>#NAME?</v>
      </c>
    </row>
    <row r="21" spans="1:14" ht="12.75">
      <c r="A21" s="403" t="s">
        <v>443</v>
      </c>
      <c r="B21" s="404" t="e">
        <f ca="1">_xll.GetCtLabel($C21,"CURINIT(AC)!LDESC","#Perte de valeur sur actifs financiers AFS  NC")</f>
        <v>#NAME?</v>
      </c>
      <c r="C21" s="398" t="str">
        <f t="shared" si="1"/>
        <v>AC=26205NC</v>
      </c>
      <c r="D21" s="499" t="e">
        <f ca="1">_xll.GetCtData("CO-AMOUNT","CONS-AMOUNT",$D$1:$D$6,$C21,D$11,"#-95082,632387538")</f>
        <v>#NAME?</v>
      </c>
      <c r="E21" s="499" t="e">
        <f ca="1">_xll.GetCtData("CO-AMOUNT","CONS-AMOUNT",$D$1:$D$6,$C21,E$11,"#-2112")</f>
        <v>#NAME?</v>
      </c>
      <c r="F21" s="503" t="e">
        <f ca="1">_xll.GetCtData("CO-AMOUNT","CONS-AMOUNT",$D$1:$D$6,$C21,F$11,"#-65422,25")</f>
        <v>#NAME?</v>
      </c>
      <c r="G21" s="504" t="e">
        <f ca="1">_xll.GetCtData("CO-AMOUNT","CONS-AMOUNT",$D$1:$D$6,$C21,G$11,"#7661")</f>
        <v>#NAME?</v>
      </c>
      <c r="H21" s="499" t="e">
        <f ca="1">_xll.GetCtData("CO-AMOUNT","CONS-AMOUNT",$D$1:$D$6,$C21,H$11,"#")</f>
        <v>#NAME?</v>
      </c>
      <c r="I21" s="499" t="e">
        <f ca="1">_xll.GetCtData("CO-AMOUNT","CONS-AMOUNT",$D$1:$D$6,$C21,I$11,"#677")</f>
        <v>#NAME?</v>
      </c>
      <c r="J21" s="499" t="e">
        <f ca="1">_xll.GetCtData("CO-AMOUNT","CONS-AMOUNT",$D$1:$D$6,$C21,J$11,"#")</f>
        <v>#NAME?</v>
      </c>
      <c r="K21" s="499" t="e">
        <f ca="1">_xll.GetCtData("CO-AMOUNT","CONS-AMOUNT",$D$1:$D$6,$C21,K$11,"#")</f>
        <v>#NAME?</v>
      </c>
      <c r="L21" s="499" t="e">
        <f ca="1">_xll.GetCtData("CO-AMOUNT","CONS-AMOUNT",$D$1:$D$6,$C21,L$11,"#-60,591898462")</f>
        <v>#NAME?</v>
      </c>
      <c r="M21" s="499" t="e">
        <f ca="1">_xll.GetCtData("CO-AMOUNT","CONS-AMOUNT",$D$1:$D$6,$C21,M$11,"#")</f>
        <v>#NAME?</v>
      </c>
      <c r="N21" s="499" t="e">
        <f ca="1">_xll.GetCtData("CO-AMOUNT","CONS-AMOUNT",$D$1:$D$6,$C21,N$11,"#-154339,474286")</f>
        <v>#NAME?</v>
      </c>
    </row>
    <row r="22" spans="1:14" ht="12.75">
      <c r="A22" s="403"/>
      <c r="B22" s="404"/>
      <c r="C22" s="398"/>
      <c r="D22" s="499"/>
      <c r="E22" s="499"/>
      <c r="F22" s="499"/>
      <c r="G22" s="499"/>
      <c r="H22" s="499"/>
      <c r="I22" s="499"/>
      <c r="J22" s="499"/>
      <c r="K22" s="499"/>
      <c r="L22" s="505"/>
      <c r="M22" s="505"/>
      <c r="N22" s="505"/>
    </row>
    <row r="23" spans="1:14" s="412" customFormat="1">
      <c r="A23" s="409"/>
      <c r="B23" s="410"/>
      <c r="C23" s="411" t="s">
        <v>444</v>
      </c>
      <c r="D23" s="506" t="e">
        <f ca="1">_xll.GetCtData("CO-AMOUNT","CONS-AMOUNT",$D$1:$D$7,$C23,D$11,"#410924,448634078")</f>
        <v>#NAME?</v>
      </c>
      <c r="E23" s="507" t="e">
        <f ca="1">_xll.GetCtData("CO-AMOUNT","CONS-AMOUNT",$D$1:$D$7,$C23,E$11,"#-18558")</f>
        <v>#NAME?</v>
      </c>
      <c r="F23" s="507" t="e">
        <f ca="1">_xll.GetCtData("CO-AMOUNT","CONS-AMOUNT",$D$1:$D$7,$C23,F$11,"#13264,038413")</f>
        <v>#NAME?</v>
      </c>
      <c r="G23" s="507" t="e">
        <f ca="1">_xll.GetCtData("CO-AMOUNT","CONS-AMOUNT",$D$1:$D$7,$C23,G$11,"#-43082,15745104")</f>
        <v>#NAME?</v>
      </c>
      <c r="H23" s="507" t="e">
        <f ca="1">_xll.GetCtData("CO-AMOUNT","CONS-AMOUNT",$D$1:$D$7,$C23,H$11,"#0")</f>
        <v>#NAME?</v>
      </c>
      <c r="I23" s="507" t="e">
        <f ca="1">_xll.GetCtData("CO-AMOUNT","CONS-AMOUNT",$D$1:$D$7,$C23,I$11,"#-4160,624824")</f>
        <v>#NAME?</v>
      </c>
      <c r="J23" s="507" t="e">
        <f ca="1">_xll.GetCtData("CO-AMOUNT","CONS-AMOUNT",$D$1:$D$7,$C23,J$11,"#0")</f>
        <v>#NAME?</v>
      </c>
      <c r="K23" s="507" t="e">
        <f ca="1">_xll.GetCtData("CO-AMOUNT","CONS-AMOUNT",$D$1:$D$7,$C23,K$11,"#-366")</f>
        <v>#NAME?</v>
      </c>
      <c r="L23" s="507" t="e">
        <f ca="1">_xll.GetCtData("CO-AMOUNT","CONS-AMOUNT",$D$1:$D$7,$C23,L$11,"#3585,88159849322")</f>
        <v>#NAME?</v>
      </c>
      <c r="M23" s="507" t="e">
        <f ca="1">_xll.GetCtData("CO-AMOUNT","CONS-AMOUNT",$D$1:$D$7,$C23,M$11,"#34339")</f>
        <v>#NAME?</v>
      </c>
      <c r="N23" s="506" t="e">
        <f ca="1">_xll.GetCtData("CO-AMOUNT","CONS-AMOUNT",$D$1:$D$7,$C23,N$11,"#395946,586370531")</f>
        <v>#NAME?</v>
      </c>
    </row>
    <row r="24" spans="1:14" s="415" customFormat="1">
      <c r="A24" s="413"/>
      <c r="B24" s="414"/>
      <c r="C24" s="415" t="s">
        <v>318</v>
      </c>
      <c r="D24" s="508" t="e">
        <f ca="1">+D23-SUM(D15:D22)</f>
        <v>#NAME?</v>
      </c>
      <c r="E24" s="508" t="e">
        <f t="shared" ref="E24:N24" ca="1" si="2">+E23-SUM(E15:E22)</f>
        <v>#NAME?</v>
      </c>
      <c r="F24" s="508" t="e">
        <f t="shared" ca="1" si="2"/>
        <v>#NAME?</v>
      </c>
      <c r="G24" s="508" t="e">
        <f t="shared" ca="1" si="2"/>
        <v>#NAME?</v>
      </c>
      <c r="H24" s="508" t="e">
        <f t="shared" ca="1" si="2"/>
        <v>#NAME?</v>
      </c>
      <c r="I24" s="508" t="e">
        <f t="shared" ca="1" si="2"/>
        <v>#NAME?</v>
      </c>
      <c r="J24" s="508" t="e">
        <f t="shared" ca="1" si="2"/>
        <v>#NAME?</v>
      </c>
      <c r="K24" s="508" t="e">
        <f t="shared" ca="1" si="2"/>
        <v>#NAME?</v>
      </c>
      <c r="L24" s="508" t="e">
        <f t="shared" ca="1" si="2"/>
        <v>#NAME?</v>
      </c>
      <c r="M24" s="508" t="e">
        <f t="shared" ca="1" si="2"/>
        <v>#NAME?</v>
      </c>
      <c r="N24" s="508" t="e">
        <f t="shared" ca="1" si="2"/>
        <v>#NAME?</v>
      </c>
    </row>
    <row r="25" spans="1:14" s="418" customFormat="1">
      <c r="A25" s="416"/>
      <c r="B25" s="417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</row>
    <row r="26" spans="1:14" s="418" customFormat="1">
      <c r="A26" s="416"/>
      <c r="B26" s="417"/>
      <c r="D26" s="398" t="s">
        <v>335</v>
      </c>
      <c r="E26" s="420" t="s">
        <v>445</v>
      </c>
      <c r="F26" s="421"/>
      <c r="G26" s="421"/>
      <c r="H26" s="419"/>
      <c r="I26" s="419"/>
      <c r="J26" s="419"/>
      <c r="K26" s="419"/>
      <c r="L26" s="419"/>
      <c r="M26" s="419"/>
      <c r="N26" s="419"/>
    </row>
    <row r="27" spans="1:14" s="418" customFormat="1" ht="12.75">
      <c r="A27" s="403">
        <v>78230</v>
      </c>
      <c r="B27" s="404" t="e">
        <f ca="1">_xll.GetCtLabel($C27,"CURINIT(AC)!LDESC","#Reprise perte de valeur sur actifs financiers AFS")</f>
        <v>#NAME?</v>
      </c>
      <c r="C27" s="398" t="str">
        <f>CONCATENATE("AC=",A27)</f>
        <v>AC=78230</v>
      </c>
      <c r="D27" s="407" t="e">
        <f ca="1">_xll.GetCtData("CO-AMOUNT","CONS-AMOUNT",$D$1:$D$6,$C27,D$26,"#981")</f>
        <v>#NAME?</v>
      </c>
      <c r="E27" s="422">
        <v>-700</v>
      </c>
      <c r="F27" s="423" t="e">
        <f ca="1">D27+E27</f>
        <v>#NAME?</v>
      </c>
      <c r="G27" s="424" t="s">
        <v>446</v>
      </c>
      <c r="H27" s="419"/>
      <c r="I27" s="419"/>
      <c r="J27" s="419"/>
      <c r="K27" s="419"/>
      <c r="L27" s="419"/>
      <c r="M27" s="419"/>
      <c r="N27" s="419"/>
    </row>
    <row r="28" spans="1:14" s="418" customFormat="1" ht="12.75">
      <c r="A28" s="403">
        <v>77550</v>
      </c>
      <c r="B28" s="404" t="e">
        <f ca="1">_xll.GetCtLabel($C28,"CURINIT(AC)!LDESC","#Repr perte de valeur sur actifs financiers AFS cédés")</f>
        <v>#NAME?</v>
      </c>
      <c r="C28" s="398" t="str">
        <f>CONCATENATE("AC=",A28)</f>
        <v>AC=77550</v>
      </c>
      <c r="D28" s="406" t="e">
        <f ca="1">_xll.GetCtData("CO-AMOUNT","CONS-AMOUNT",$D$1:$D$6,$C28,D$26,"#6680")</f>
        <v>#NAME?</v>
      </c>
      <c r="E28" s="422">
        <v>700</v>
      </c>
      <c r="F28" s="406" t="e">
        <f ca="1">D28+E28</f>
        <v>#NAME?</v>
      </c>
      <c r="G28" s="424" t="s">
        <v>446</v>
      </c>
      <c r="H28" s="419"/>
      <c r="I28" s="419"/>
      <c r="J28" s="419"/>
      <c r="K28" s="419"/>
      <c r="L28" s="419"/>
      <c r="M28" s="419" t="e">
        <f ca="1">M23+E23</f>
        <v>#NAME?</v>
      </c>
      <c r="N28" s="419"/>
    </row>
    <row r="29" spans="1:14" s="412" customFormat="1" ht="12.75">
      <c r="A29" s="425"/>
      <c r="B29" s="426"/>
      <c r="C29" s="427" t="s">
        <v>396</v>
      </c>
      <c r="D29" s="408" t="e">
        <f ca="1">SUM(D27:D28)</f>
        <v>#NAME?</v>
      </c>
      <c r="E29" s="428"/>
      <c r="F29" s="408" t="e">
        <f ca="1">SUM(F27:F28)</f>
        <v>#NAME?</v>
      </c>
      <c r="G29" s="428"/>
      <c r="H29" s="429"/>
      <c r="I29" s="429"/>
      <c r="J29" s="429"/>
      <c r="K29" s="429"/>
      <c r="L29" s="429"/>
      <c r="M29" s="429"/>
      <c r="N29" s="429"/>
    </row>
    <row r="30" spans="1:14" s="412" customFormat="1" ht="12.75">
      <c r="A30" s="425"/>
      <c r="B30" s="426"/>
      <c r="C30" s="430" t="s">
        <v>447</v>
      </c>
      <c r="D30" s="430" t="e">
        <f ca="1">+G21-D29</f>
        <v>#NAME?</v>
      </c>
      <c r="E30" s="431"/>
      <c r="F30" s="430" t="e">
        <f ca="1">+G21-F29</f>
        <v>#NAME?</v>
      </c>
      <c r="H30" s="429"/>
      <c r="I30" s="429"/>
      <c r="J30" s="429"/>
      <c r="K30" s="429"/>
      <c r="L30" s="429"/>
      <c r="M30" s="429"/>
      <c r="N30" s="429"/>
    </row>
    <row r="32" spans="1:14" s="397" customFormat="1">
      <c r="A32" s="392"/>
      <c r="B32" s="392"/>
      <c r="C32" s="399"/>
      <c r="D32" s="401" t="s">
        <v>430</v>
      </c>
      <c r="E32" s="401" t="s">
        <v>440</v>
      </c>
      <c r="F32" s="401" t="s">
        <v>448</v>
      </c>
      <c r="G32" s="392"/>
      <c r="H32" s="392"/>
      <c r="I32" s="392"/>
      <c r="J32" s="392"/>
      <c r="K32" s="392"/>
      <c r="L32" s="392"/>
      <c r="M32" s="392"/>
      <c r="N32" s="392"/>
    </row>
    <row r="33" spans="1:17" ht="12.75">
      <c r="A33" s="403" t="s">
        <v>449</v>
      </c>
      <c r="B33" s="404" t="e">
        <f ca="1">_xll.GetCtLabel($C33,"CURINIT(AC)!LDESC","#Var FV actifs financiers AFS (hors effet impôt) - Groupe")</f>
        <v>#NAME?</v>
      </c>
      <c r="C33" s="398" t="str">
        <f>CONCATENATE("AC=",A33)</f>
        <v>AC=11410G</v>
      </c>
      <c r="D33" s="398" t="e">
        <f ca="1">_xll.GetCtData("CO-AMOUNT","CONS-AMOUNT",$D$1:$D$7,$C33,D$11,,"#-49094,9514776121")</f>
        <v>#NAME?</v>
      </c>
      <c r="E33" s="398" t="e">
        <f ca="1">_xll.GetCtData("CO-AMOUNT","CONS-AMOUNT",$D$1:$D$7,$C33,N$11,"#7920,341180269")</f>
        <v>#NAME?</v>
      </c>
      <c r="F33" s="432" t="e">
        <f ca="1">+E33-D33</f>
        <v>#NAME?</v>
      </c>
      <c r="G33" s="405"/>
      <c r="H33" s="405"/>
      <c r="I33" s="405"/>
      <c r="J33" s="405"/>
      <c r="K33" s="405"/>
      <c r="L33" s="405"/>
      <c r="M33" s="405"/>
      <c r="N33" s="405"/>
    </row>
    <row r="34" spans="1:17" ht="12.75">
      <c r="A34" s="403" t="s">
        <v>450</v>
      </c>
      <c r="B34" s="404" t="e">
        <f ca="1">_xll.GetCtLabel($C34,"CURINIT(AC)!LDESC","#Var FV actifs financiers AFS (hors effet impôt) - IM")</f>
        <v>#NAME?</v>
      </c>
      <c r="C34" s="398" t="str">
        <f>CONCATENATE("AC=",A34)</f>
        <v>AC=11410M</v>
      </c>
      <c r="D34" s="398" t="e">
        <f ca="1">_xll.GetCtData("CO-AMOUNT","CONS-AMOUNT",$D$1:$D$7,$C34,D$11,"#0,362505348673193")</f>
        <v>#NAME?</v>
      </c>
      <c r="E34" s="398" t="e">
        <f ca="1">_xll.GetCtData("CO-AMOUNT","CONS-AMOUNT",$D$1:$D$7,$C34,N$11,"#0,413008113862585")</f>
        <v>#NAME?</v>
      </c>
      <c r="F34" s="432" t="e">
        <f ca="1">+E34-D34</f>
        <v>#NAME?</v>
      </c>
      <c r="G34" s="405"/>
      <c r="H34" s="405"/>
      <c r="I34" s="405"/>
      <c r="J34" s="405"/>
      <c r="K34" s="405"/>
      <c r="L34" s="405"/>
      <c r="M34" s="405"/>
      <c r="N34" s="405"/>
    </row>
    <row r="35" spans="1:17">
      <c r="C35" s="430" t="s">
        <v>447</v>
      </c>
      <c r="F35" s="430" t="e">
        <f ca="1">(N20-D20)-SUM(F33:F34)</f>
        <v>#NAME?</v>
      </c>
      <c r="G35" s="433" t="s">
        <v>451</v>
      </c>
    </row>
    <row r="38" spans="1:17">
      <c r="E38" s="434"/>
    </row>
    <row r="39" spans="1:17">
      <c r="E39" s="434"/>
    </row>
    <row r="41" spans="1:17">
      <c r="F41" s="435" t="s">
        <v>452</v>
      </c>
      <c r="G41" s="436"/>
      <c r="H41" s="436"/>
      <c r="I41" s="436"/>
      <c r="J41" s="436"/>
      <c r="K41" s="436"/>
      <c r="L41" s="436"/>
      <c r="M41" s="436"/>
      <c r="N41" s="435"/>
      <c r="O41" s="437"/>
      <c r="P41" s="438"/>
      <c r="Q41" s="437"/>
    </row>
    <row r="42" spans="1:17" s="448" customFormat="1" ht="25.5" customHeight="1">
      <c r="A42" s="573" t="str">
        <f>"Au "&amp;"31.12.2011"</f>
        <v>Au 31.12.2011</v>
      </c>
      <c r="B42" s="573"/>
      <c r="C42" s="439"/>
      <c r="D42" s="439"/>
      <c r="E42" s="439"/>
      <c r="F42" s="440" t="e">
        <f ca="1">ROUND((D23)/1000,1)</f>
        <v>#NAME?</v>
      </c>
      <c r="G42" s="441"/>
      <c r="H42" s="442"/>
      <c r="I42" s="442"/>
      <c r="J42" s="442"/>
      <c r="K42" s="442"/>
      <c r="L42" s="442"/>
      <c r="M42" s="443"/>
      <c r="N42" s="444"/>
      <c r="O42" s="445"/>
      <c r="P42" s="446"/>
      <c r="Q42" s="447"/>
    </row>
    <row r="43" spans="1:17" s="450" customFormat="1" ht="5.25">
      <c r="A43" s="449"/>
      <c r="E43" s="451"/>
      <c r="F43" s="452"/>
      <c r="G43" s="453"/>
      <c r="H43" s="453"/>
      <c r="I43" s="453"/>
      <c r="J43" s="453"/>
      <c r="K43" s="453"/>
      <c r="L43" s="453"/>
      <c r="M43" s="451"/>
      <c r="N43" s="454"/>
      <c r="O43" s="455"/>
      <c r="P43" s="456"/>
      <c r="Q43" s="451"/>
    </row>
    <row r="44" spans="1:17" s="448" customFormat="1" ht="14.25">
      <c r="A44" s="457" t="s">
        <v>387</v>
      </c>
      <c r="C44" s="447"/>
      <c r="D44" s="447"/>
      <c r="E44" s="447"/>
      <c r="F44" s="458" t="e">
        <f ca="1">ROUND((F19)/1000+G44,1)</f>
        <v>#NAME?</v>
      </c>
      <c r="G44" s="459"/>
      <c r="H44" s="460" t="s">
        <v>453</v>
      </c>
      <c r="I44" s="461"/>
      <c r="J44" s="461"/>
      <c r="K44" s="461"/>
      <c r="L44" s="461"/>
      <c r="N44" s="462"/>
      <c r="O44" s="445"/>
      <c r="P44" s="446"/>
      <c r="Q44" s="447"/>
    </row>
    <row r="45" spans="1:17" s="448" customFormat="1" ht="14.25">
      <c r="A45" s="457" t="s">
        <v>454</v>
      </c>
      <c r="C45" s="447"/>
      <c r="D45" s="447"/>
      <c r="E45" s="447"/>
      <c r="F45" s="463" t="e">
        <f ca="1">ROUND((G19+F28)/1000,1)</f>
        <v>#NAME?</v>
      </c>
      <c r="G45" s="464"/>
      <c r="H45" s="461"/>
      <c r="I45" s="461"/>
      <c r="J45" s="461"/>
      <c r="K45" s="461"/>
      <c r="L45" s="461"/>
      <c r="N45" s="462"/>
      <c r="O45" s="445"/>
      <c r="P45" s="446"/>
      <c r="Q45" s="447"/>
    </row>
    <row r="46" spans="1:17" s="448" customFormat="1" ht="14.25">
      <c r="A46" s="457" t="s">
        <v>392</v>
      </c>
      <c r="C46" s="447"/>
      <c r="D46" s="447"/>
      <c r="E46" s="447"/>
      <c r="F46" s="465" t="e">
        <f ca="1">ROUND((+F33+F34)/1000+G46,1)</f>
        <v>#NAME?</v>
      </c>
      <c r="G46" s="466">
        <v>0.1</v>
      </c>
      <c r="H46" s="460" t="s">
        <v>455</v>
      </c>
      <c r="I46" s="461"/>
      <c r="J46" s="461"/>
      <c r="K46" s="461"/>
      <c r="L46" s="461"/>
      <c r="N46" s="462"/>
      <c r="O46" s="445"/>
      <c r="P46" s="446"/>
      <c r="Q46" s="447"/>
    </row>
    <row r="47" spans="1:17" s="448" customFormat="1" ht="12.75">
      <c r="A47" s="457" t="s">
        <v>393</v>
      </c>
      <c r="C47" s="447"/>
      <c r="D47" s="447"/>
      <c r="E47" s="447"/>
      <c r="F47" s="467" t="e">
        <f ca="1">ROUND((F21+F27)/1000,1)</f>
        <v>#NAME?</v>
      </c>
      <c r="G47" s="464"/>
      <c r="I47" s="468"/>
      <c r="J47" s="461"/>
      <c r="K47" s="461"/>
      <c r="L47" s="461"/>
      <c r="M47" s="443"/>
      <c r="N47" s="469"/>
      <c r="O47" s="445"/>
      <c r="P47" s="446"/>
      <c r="Q47" s="447"/>
    </row>
    <row r="48" spans="1:17" s="448" customFormat="1" ht="14.25">
      <c r="A48" s="457" t="s">
        <v>388</v>
      </c>
      <c r="C48" s="447"/>
      <c r="D48" s="447"/>
      <c r="E48" s="447"/>
      <c r="F48" s="470" t="e">
        <f ca="1">+F50-SUM(F42:F47)</f>
        <v>#NAME?</v>
      </c>
      <c r="G48" s="461"/>
      <c r="H48" s="461"/>
      <c r="I48" s="461"/>
      <c r="J48" s="461"/>
      <c r="K48" s="461"/>
      <c r="L48" s="461"/>
      <c r="M48" s="443"/>
      <c r="N48" s="471"/>
      <c r="O48" s="445"/>
      <c r="P48" s="446"/>
      <c r="Q48" s="447"/>
    </row>
    <row r="49" spans="1:17" s="450" customFormat="1" ht="5.25">
      <c r="A49" s="449"/>
      <c r="E49" s="451"/>
      <c r="F49" s="452"/>
      <c r="G49" s="453"/>
      <c r="I49" s="451"/>
      <c r="J49" s="451"/>
      <c r="N49" s="454"/>
      <c r="O49" s="455"/>
      <c r="P49" s="456"/>
      <c r="Q49" s="451"/>
    </row>
    <row r="50" spans="1:17" s="448" customFormat="1" ht="25.5" customHeight="1">
      <c r="A50" s="573" t="str">
        <f>"Au "&amp;"31.12.2012"</f>
        <v>Au 31.12.2012</v>
      </c>
      <c r="B50" s="573"/>
      <c r="C50" s="439"/>
      <c r="D50" s="439"/>
      <c r="E50" s="439"/>
      <c r="F50" s="440" t="e">
        <f ca="1">ROUND((N23)/1000,1)</f>
        <v>#NAME?</v>
      </c>
      <c r="G50" s="442"/>
      <c r="I50" s="447"/>
      <c r="J50" s="447"/>
      <c r="K50" s="443"/>
      <c r="L50" s="443"/>
      <c r="N50" s="444"/>
      <c r="O50" s="445"/>
      <c r="P50" s="446"/>
      <c r="Q50" s="447"/>
    </row>
    <row r="51" spans="1:17">
      <c r="N51" s="412"/>
    </row>
    <row r="52" spans="1:17" s="474" customFormat="1" ht="12">
      <c r="A52" s="472"/>
      <c r="B52" s="473"/>
      <c r="E52" s="475" t="s">
        <v>456</v>
      </c>
      <c r="F52" s="430" t="e">
        <f ca="1">+F50-SUM(F42:F48)</f>
        <v>#NAME?</v>
      </c>
      <c r="N52" s="419"/>
      <c r="O52" s="419"/>
      <c r="Q52" s="419"/>
    </row>
    <row r="55" spans="1:17">
      <c r="E55" s="476" t="s">
        <v>457</v>
      </c>
      <c r="F55" s="477"/>
      <c r="G55" s="477"/>
      <c r="H55" s="477"/>
      <c r="I55" s="477"/>
      <c r="J55" s="477"/>
      <c r="K55" s="477"/>
      <c r="L55" s="477"/>
    </row>
    <row r="56" spans="1:17">
      <c r="E56" s="476" t="s">
        <v>458</v>
      </c>
      <c r="F56" s="477"/>
      <c r="G56" s="477"/>
      <c r="H56" s="477"/>
      <c r="I56" s="477"/>
      <c r="J56" s="477"/>
      <c r="K56" s="477"/>
      <c r="L56" s="477"/>
    </row>
    <row r="57" spans="1:17">
      <c r="E57" s="476" t="s">
        <v>459</v>
      </c>
      <c r="F57" s="477"/>
      <c r="G57" s="477"/>
      <c r="H57" s="477"/>
      <c r="I57" s="477"/>
      <c r="J57" s="477"/>
      <c r="K57" s="477"/>
      <c r="L57" s="477"/>
    </row>
    <row r="58" spans="1:17">
      <c r="E58" s="478" t="s">
        <v>460</v>
      </c>
      <c r="F58" s="477"/>
      <c r="G58" s="477"/>
      <c r="H58" s="477"/>
      <c r="I58" s="477"/>
      <c r="J58" s="477"/>
      <c r="K58" s="477"/>
      <c r="L58" s="477"/>
    </row>
  </sheetData>
  <mergeCells count="2">
    <mergeCell ref="A42:B42"/>
    <mergeCell ref="A50:B50"/>
  </mergeCells>
  <pageMargins left="0.7" right="0.7" top="0.75" bottom="0.75" header="0.3" footer="0.3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Note 13 OLD</vt:lpstr>
      <vt:lpstr>NOTE7.5 actif financier</vt:lpstr>
      <vt:lpstr>NOTE7.5 passif financier</vt:lpstr>
      <vt:lpstr>Get Smart</vt:lpstr>
      <vt:lpstr>Getcarat</vt:lpstr>
      <vt:lpstr>RETRIEVE 2</vt:lpstr>
      <vt:lpstr>RETRIEVE 1</vt:lpstr>
      <vt:lpstr>Justifs TNC niveau3 2012.12</vt:lpstr>
      <vt:lpstr>Retrieve AFS N1 et N3</vt:lpstr>
      <vt:lpstr>Justifs TNC niveau3 2011.12</vt:lpstr>
      <vt:lpstr>Justifs TNC niveau3 2010.12</vt:lpstr>
      <vt:lpstr>prêt et créance au ct amorti</vt:lpstr>
      <vt:lpstr>autres</vt:lpstr>
    </vt:vector>
  </TitlesOfParts>
  <Company>SUEZ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SUEZ</dc:creator>
  <cp:lastModifiedBy>Alex</cp:lastModifiedBy>
  <cp:lastPrinted>2013-01-18T10:49:35Z</cp:lastPrinted>
  <dcterms:created xsi:type="dcterms:W3CDTF">2005-12-14T13:35:18Z</dcterms:created>
  <dcterms:modified xsi:type="dcterms:W3CDTF">2013-06-10T21:30:44Z</dcterms:modified>
</cp:coreProperties>
</file>